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cadams\Desktop\"/>
    </mc:Choice>
  </mc:AlternateContent>
  <xr:revisionPtr revIDLastSave="0" documentId="13_ncr:1_{2BF50AFC-26A6-4A2A-91BF-75A2844F446A}" xr6:coauthVersionLast="47" xr6:coauthVersionMax="47" xr10:uidLastSave="{00000000-0000-0000-0000-000000000000}"/>
  <bookViews>
    <workbookView xWindow="-120" yWindow="-120" windowWidth="29040" windowHeight="15720" xr2:uid="{00000000-000D-0000-FFFF-FFFF00000000}"/>
  </bookViews>
  <sheets>
    <sheet name="PC&amp;Permit Fees" sheetId="15" r:id="rId1"/>
    <sheet name="Grading Bond Calc" sheetId="32" r:id="rId2"/>
    <sheet name="K-Rat Fee" sheetId="17" r:id="rId3"/>
    <sheet name="K-Rat Map" sheetId="16" r:id="rId4"/>
    <sheet name="TIF Information" sheetId="18" r:id="rId5"/>
    <sheet name="Drainage Fees" sheetId="13" r:id="rId6"/>
    <sheet name="Drainage Fee Map" sheetId="14" r:id="rId7"/>
    <sheet name="TUMF Fee Schedule" sheetId="25" r:id="rId8"/>
  </sheets>
  <definedNames>
    <definedName name="_xlnm.Print_Area" localSheetId="1">'Grading Bond Calc'!$A$1:$H$37</definedName>
    <definedName name="_xlnm.Print_Area" localSheetId="0">'PC&amp;Permit Fees'!$B$1:$K$88</definedName>
    <definedName name="_xlnm.Print_Titles" localSheetId="0">'PC&amp;Permit Fees'!$2:$4</definedName>
    <definedName name="wwfootnote_inline_109" localSheetId="4">'TIF Information'!$A$3</definedName>
  </definedNames>
  <calcPr calcId="191029"/>
  <extLst>
    <ext xmlns:x15="http://schemas.microsoft.com/office/spreadsheetml/2010/11/main" uri="{FCE2AD5D-F65C-4FA6-A056-5C36A1767C68}">
      <x15:dataModel>
        <x15:modelTables>
          <x15:modelTable id="Sheet1_dfac7fca-6a0e-4329-83cc-3763ffed15a2" name="Sheet1" connection="Query - Sheet1"/>
          <x15:modelTable id="Sheet1 Print_Area_b2867d7b-6a89-4663-a9f1-5cb693b5d285" name="Sheet1 Print_Area" connection="Query - Sheet1$Print_Area"/>
          <x15:modelTable id="Sheet2_87311639-3531-4d8c-ad84-933c9f06937d" name="Sheet2" connection="Query - Sheet2"/>
          <x15:modelTable id="Sheet3_8f6728eb-959c-48f0-980b-179052c4f261" name="Sheet3" connection="Query - Sheet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32" l="1"/>
  <c r="F27" i="32" s="1"/>
  <c r="F10" i="15"/>
  <c r="F25" i="32" l="1"/>
  <c r="K11" i="15"/>
  <c r="J11" i="15"/>
  <c r="F8" i="15"/>
  <c r="F11" i="15"/>
  <c r="F12" i="15"/>
  <c r="F13" i="15"/>
  <c r="F19" i="15"/>
  <c r="F20" i="15"/>
  <c r="F21" i="15"/>
  <c r="F22" i="15"/>
  <c r="F23" i="15"/>
  <c r="H70" i="15"/>
  <c r="H69" i="15"/>
  <c r="H68" i="15"/>
  <c r="H67" i="15"/>
  <c r="H66" i="15"/>
  <c r="H65" i="15"/>
  <c r="H64" i="15"/>
  <c r="H63" i="15"/>
  <c r="H84" i="15"/>
  <c r="H83" i="15"/>
  <c r="H82" i="15"/>
  <c r="H81" i="15"/>
  <c r="H80" i="15"/>
  <c r="H79" i="15"/>
  <c r="H78" i="15"/>
  <c r="H85" i="15" s="1"/>
  <c r="H87" i="15" s="1"/>
  <c r="I13" i="15"/>
  <c r="I11" i="15"/>
  <c r="I12" i="15"/>
  <c r="J9" i="15"/>
  <c r="J13" i="15"/>
  <c r="J12" i="15"/>
  <c r="F15" i="15"/>
  <c r="I33" i="15"/>
  <c r="F33" i="15"/>
  <c r="K14" i="15"/>
  <c r="J14" i="15"/>
  <c r="K13" i="15"/>
  <c r="K10" i="15"/>
  <c r="J10" i="15" s="1"/>
  <c r="J8" i="15"/>
  <c r="J36" i="15"/>
  <c r="I36" i="15"/>
  <c r="F36" i="15"/>
  <c r="I8" i="15"/>
  <c r="I9" i="15"/>
  <c r="I10" i="15"/>
  <c r="I19" i="15"/>
  <c r="J19" i="15"/>
  <c r="I20" i="15"/>
  <c r="J20" i="15"/>
  <c r="I21" i="15"/>
  <c r="J21" i="15"/>
  <c r="I22" i="15"/>
  <c r="J22" i="15"/>
  <c r="I23" i="15"/>
  <c r="J23" i="15"/>
  <c r="F24" i="15"/>
  <c r="F43" i="15"/>
  <c r="F44" i="15"/>
  <c r="F45" i="15"/>
  <c r="F46" i="15"/>
  <c r="F47" i="15"/>
  <c r="F48" i="15"/>
  <c r="F49" i="15"/>
  <c r="F50" i="15"/>
  <c r="F51" i="15"/>
  <c r="F52" i="15"/>
  <c r="F55" i="15"/>
  <c r="F56" i="15"/>
  <c r="E38" i="15" l="1"/>
  <c r="J33" i="15"/>
  <c r="K12" i="15"/>
  <c r="H71" i="15"/>
  <c r="H73" i="15" s="1"/>
  <c r="E28" i="1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D9BFB2F-02D9-45E9-AD54-C5CAE1AC8A89}" keepAlive="1" name="Query - Copy of Grading Bond Calculator4 08 xls" description="Connection to the 'Copy of Grading Bond Calculator4 08 xls' query in the workbook." type="5" refreshedVersion="0" background="1">
    <dbPr connection="Provider=Microsoft.Mashup.OleDb.1;Data Source=$Workbook$;Location=&quot;Copy of Grading Bond Calculator4 08 xls&quot;;Extended Properties=&quot;&quot;" command="SELECT * FROM [Copy of Grading Bond Calculator4 08 xls]"/>
  </connection>
  <connection id="2" xr16:uid="{BD124162-8FF1-460F-A863-EBE81AFAB56B}" name="Query - Sheet1" description="Connection to the 'Sheet1' query in the workbook." type="100" refreshedVersion="7" minRefreshableVersion="5">
    <extLst>
      <ext xmlns:x15="http://schemas.microsoft.com/office/spreadsheetml/2010/11/main" uri="{DE250136-89BD-433C-8126-D09CA5730AF9}">
        <x15:connection id="dff256e7-6026-402c-bc1c-179c753ba2b7"/>
      </ext>
    </extLst>
  </connection>
  <connection id="3" xr16:uid="{4E0FB593-27EB-4863-8E8C-909505C04CC3}" name="Query - Sheet1$Print_Area" description="Connection to the 'Sheet1$Print_Area' query in the workbook." type="100" refreshedVersion="7" minRefreshableVersion="5">
    <extLst>
      <ext xmlns:x15="http://schemas.microsoft.com/office/spreadsheetml/2010/11/main" uri="{DE250136-89BD-433C-8126-D09CA5730AF9}">
        <x15:connection id="a976e36e-fda6-4f82-a4e0-39820c9750fe"/>
      </ext>
    </extLst>
  </connection>
  <connection id="4" xr16:uid="{6063AC46-BC38-4E3C-8F1C-C859C4C51423}" name="Query - Sheet2" description="Connection to the 'Sheet2' query in the workbook." type="100" refreshedVersion="7" minRefreshableVersion="5">
    <extLst>
      <ext xmlns:x15="http://schemas.microsoft.com/office/spreadsheetml/2010/11/main" uri="{DE250136-89BD-433C-8126-D09CA5730AF9}">
        <x15:connection id="f8b543f0-4adb-4666-a115-a843b51d14eb"/>
      </ext>
    </extLst>
  </connection>
  <connection id="5" xr16:uid="{7FD2DE0D-1736-420A-8C50-70F468590983}" name="Query - Sheet3" description="Connection to the 'Sheet3' query in the workbook." type="100" refreshedVersion="7" minRefreshableVersion="5">
    <extLst>
      <ext xmlns:x15="http://schemas.microsoft.com/office/spreadsheetml/2010/11/main" uri="{DE250136-89BD-433C-8126-D09CA5730AF9}">
        <x15:connection id="280e600e-781f-414b-b806-a8d6719ae5fd"/>
      </ext>
    </extLst>
  </connection>
  <connection id="6" xr16:uid="{724919D1-6DA2-4E5C-87B2-99DFF92E529C}"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<sst xmlns="http://schemas.openxmlformats.org/spreadsheetml/2006/main" count="221" uniqueCount="185">
  <si>
    <t>ENGINEERING DIVISION</t>
  </si>
  <si>
    <t xml:space="preserve"> ESTIMATED* PLAN CHECK SUBMITTAL and PERMIT FEES </t>
  </si>
  <si>
    <t xml:space="preserve">DIRECTIONS:  Locate plan type heading (Grading, Improvement, etc.) below.  Follow fee description row across, filling in blanks as directed - TOTAL is shown in yellow column.   PLAN CHECK &amp; INSPECTION FEE TOTALS SUBJECT TO ADDITIONAL CHARGES AS WARRANTED </t>
  </si>
  <si>
    <t>ESTIMATED*- PERMIT &amp; SECURITY FEES</t>
  </si>
  <si>
    <r>
      <t xml:space="preserve">GRADING </t>
    </r>
    <r>
      <rPr>
        <sz val="12"/>
        <rFont val="Arial"/>
        <family val="2"/>
      </rPr>
      <t>-</t>
    </r>
    <r>
      <rPr>
        <sz val="11"/>
        <rFont val="Arial"/>
        <family val="2"/>
      </rPr>
      <t xml:space="preserve"> Based on combined cubic yardage of cut and fill.          </t>
    </r>
    <r>
      <rPr>
        <i/>
        <sz val="11"/>
        <rFont val="Arial"/>
        <family val="2"/>
      </rPr>
      <t>If improvements are to be constructed from Grading Plans, fill in PUBLIC WORKS IMPROVEMENT PLANS below.</t>
    </r>
  </si>
  <si>
    <t>ADMN. FEE</t>
  </si>
  <si>
    <t xml:space="preserve">Minimum PLAN CHECK FEE  </t>
  </si>
  <si>
    <t>Enter Total Cubic Yards (Cut &amp; Fill) Below</t>
  </si>
  <si>
    <t>GRADING PLAN CHECK TOTAL</t>
  </si>
  <si>
    <r>
      <t xml:space="preserve">GRADING </t>
    </r>
    <r>
      <rPr>
        <b/>
        <sz val="12"/>
        <color indexed="18"/>
        <rFont val="Arial"/>
        <family val="2"/>
      </rPr>
      <t>- PERMIT FEE &amp; SECURITY</t>
    </r>
  </si>
  <si>
    <r>
      <t xml:space="preserve">TOTAL Estimated  Grading PERMIT FEE   </t>
    </r>
    <r>
      <rPr>
        <sz val="7"/>
        <rFont val="Arial"/>
        <family val="2"/>
      </rPr>
      <t>( includes admn fee)</t>
    </r>
  </si>
  <si>
    <t>Estimated Grading Security CASH DEPOSIT Amount**</t>
  </si>
  <si>
    <t>Estimated Grading Security BOND or LETTER OF CREDIT Amount **</t>
  </si>
  <si>
    <t>100 Cubic Yards or Less (combined cut &amp; fill)</t>
  </si>
  <si>
    <t>n/a</t>
  </si>
  <si>
    <t>101 - 1000 Cubic Yards (combined cut &amp; fill)</t>
  </si>
  <si>
    <t>1001 - 10,000 Cubic Yards (combined cut &amp; fill)</t>
  </si>
  <si>
    <t>10,001 - 100,000 Cubic Yards (combined cut &amp; fill)</t>
  </si>
  <si>
    <t>100,001 - 400,000 Cubic Yards (combined cut &amp; fill)</t>
  </si>
  <si>
    <t>Over 400,000 Cubic Yards (combined cut &amp; fill) ***</t>
  </si>
  <si>
    <t>GRADING PLANS - REVISED</t>
  </si>
  <si>
    <t>ADMN</t>
  </si>
  <si>
    <t xml:space="preserve">Min PLAN CHECK FEE  </t>
  </si>
  <si>
    <t xml:space="preserve">Enter # of Sheets REVISED </t>
  </si>
  <si>
    <t>*** SECURITY 1,000,001 cubic yards or greater</t>
  </si>
  <si>
    <t>Revised Grading Plans</t>
  </si>
  <si>
    <r>
      <t xml:space="preserve">PUBLIC WORKS IMPROVEMENT PLANS  - </t>
    </r>
    <r>
      <rPr>
        <sz val="11"/>
        <rFont val="Arial"/>
        <family val="2"/>
      </rPr>
      <t>Based on per sheet charge &amp; Engineer's Estimate. Completed Engineer's Cost Estimate must be included with Plan Check Submittal.</t>
    </r>
  </si>
  <si>
    <r>
      <t>IMPROVEMENT</t>
    </r>
    <r>
      <rPr>
        <b/>
        <sz val="12"/>
        <color indexed="53"/>
        <rFont val="Arial"/>
        <family val="2"/>
      </rPr>
      <t xml:space="preserve"> </t>
    </r>
    <r>
      <rPr>
        <b/>
        <sz val="12"/>
        <color indexed="18"/>
        <rFont val="Arial"/>
        <family val="2"/>
      </rPr>
      <t>- PERMIT FEE &amp; SECURITY</t>
    </r>
  </si>
  <si>
    <t>Enter # of Plan Sheets Below</t>
  </si>
  <si>
    <t>Enter Total of Engineer's Estimate Below</t>
  </si>
  <si>
    <t>IMPROVEMENT PLAN CHECK TOTAL</t>
  </si>
  <si>
    <r>
      <t>TOTAL Estimated Encroachment Permit Fee</t>
    </r>
    <r>
      <rPr>
        <sz val="9"/>
        <rFont val="Arial"/>
        <family val="2"/>
      </rPr>
      <t xml:space="preserve"> </t>
    </r>
    <r>
      <rPr>
        <sz val="7"/>
        <rFont val="Arial"/>
        <family val="2"/>
      </rPr>
      <t>(includes admn fee)</t>
    </r>
  </si>
  <si>
    <t>Estimated Improvement Security</t>
  </si>
  <si>
    <t>COMMENTS</t>
  </si>
  <si>
    <t xml:space="preserve"> 0 - $50,000.</t>
  </si>
  <si>
    <t xml:space="preserve">Post both faithful performance and material and labor bond, each equal to 100% of Engineer's Cost Estimate. </t>
  </si>
  <si>
    <t>$50,000 - $300,000</t>
  </si>
  <si>
    <t>$300,000 - $700,000</t>
  </si>
  <si>
    <t>$700,000 - $1,000,000</t>
  </si>
  <si>
    <t>$1,000,000 and greater</t>
  </si>
  <si>
    <t>Revised or Redesigned Public Works Impvt Plans</t>
  </si>
  <si>
    <r>
      <t xml:space="preserve">COMBINATION PLANS: </t>
    </r>
    <r>
      <rPr>
        <b/>
        <sz val="10"/>
        <rFont val="Arial"/>
        <family val="2"/>
      </rPr>
      <t xml:space="preserve"> </t>
    </r>
    <r>
      <rPr>
        <sz val="9"/>
        <rFont val="Arial"/>
        <family val="2"/>
      </rPr>
      <t xml:space="preserve">If the </t>
    </r>
    <r>
      <rPr>
        <b/>
        <sz val="9"/>
        <rFont val="Arial"/>
        <family val="2"/>
      </rPr>
      <t xml:space="preserve">grading plans include Hardscape Improvements </t>
    </r>
    <r>
      <rPr>
        <sz val="9"/>
        <rFont val="Arial"/>
        <family val="2"/>
      </rPr>
      <t xml:space="preserve">(curb, gutter, sidewalk, driveway cut,  striping, storm drain, etc.) onsite and/or offsite </t>
    </r>
    <r>
      <rPr>
        <b/>
        <sz val="9"/>
        <rFont val="Arial"/>
        <family val="2"/>
      </rPr>
      <t xml:space="preserve">to be constructed from the Grading Plan, </t>
    </r>
    <r>
      <rPr>
        <u/>
        <sz val="10"/>
        <rFont val="Arial"/>
        <family val="2"/>
      </rPr>
      <t>FILL IN BOTH</t>
    </r>
    <r>
      <rPr>
        <sz val="10"/>
        <rFont val="Arial"/>
        <family val="2"/>
      </rPr>
      <t xml:space="preserve"> the Grading and Public Works Improvement Plans sections above.  </t>
    </r>
    <r>
      <rPr>
        <b/>
        <sz val="10"/>
        <rFont val="Arial"/>
        <family val="2"/>
      </rPr>
      <t>See TOTAL Plan Check Fee below</t>
    </r>
  </si>
  <si>
    <r>
      <t>Post Security equal to 100% of the cost of work</t>
    </r>
    <r>
      <rPr>
        <sz val="10"/>
        <rFont val="Arial"/>
        <family val="2"/>
      </rPr>
      <t>.   SUBDIVISION SECURITY: Faithful Performance &amp; Material and Labor bond, each equal to 100% of cost of work;  ALL OTHERS - Security equal to 100% of cost of work with a minimum of 10% posted in CASH with the balance in the form of a bond or letter of credit.</t>
    </r>
  </si>
  <si>
    <r>
      <t xml:space="preserve">                                                          </t>
    </r>
    <r>
      <rPr>
        <b/>
        <sz val="11"/>
        <rFont val="Arial"/>
        <family val="2"/>
      </rPr>
      <t xml:space="preserve">Total COMBINED Plan Check Fee  </t>
    </r>
  </si>
  <si>
    <t>NON-SUBDIVISION SINGLE FAMILY RESIDENTIAL</t>
  </si>
  <si>
    <t>GRADING</t>
  </si>
  <si>
    <t xml:space="preserve">ADMN. FEE </t>
  </si>
  <si>
    <r>
      <t xml:space="preserve">Estimated Grading Permit Fee </t>
    </r>
    <r>
      <rPr>
        <sz val="7"/>
        <rFont val="Arial"/>
        <family val="2"/>
      </rPr>
      <t>(includes admn fee)</t>
    </r>
  </si>
  <si>
    <t>Estimated Grading Security**</t>
  </si>
  <si>
    <t>100-1000 Cubic Yards or Less (combined cut &amp; fill)</t>
  </si>
  <si>
    <t>Minimum - Cash only</t>
  </si>
  <si>
    <r>
      <t xml:space="preserve">IMPROVEMENTS </t>
    </r>
    <r>
      <rPr>
        <b/>
        <sz val="8"/>
        <rFont val="Arial"/>
        <family val="2"/>
      </rPr>
      <t>(curb, gutter, driveway approach, sidewalk, street, etc.)</t>
    </r>
  </si>
  <si>
    <t>Enter total $ from Engineer's Estimate below</t>
  </si>
  <si>
    <r>
      <t xml:space="preserve">* </t>
    </r>
    <r>
      <rPr>
        <b/>
        <sz val="9"/>
        <rFont val="Arial"/>
        <family val="2"/>
      </rPr>
      <t>Estimated Encroachment PERMIT Fee</t>
    </r>
  </si>
  <si>
    <t>Estimated Improvement SECURITY</t>
  </si>
  <si>
    <r>
      <t xml:space="preserve">Public Works Improvement Plans - </t>
    </r>
    <r>
      <rPr>
        <b/>
        <sz val="10"/>
        <rFont val="Arial"/>
        <family val="2"/>
      </rPr>
      <t>Based on Engineer's Estimate</t>
    </r>
  </si>
  <si>
    <t>Post both faithful performance &amp; material and labor bond, each equal to 100% of cost estimate</t>
  </si>
  <si>
    <r>
      <t xml:space="preserve">COMBINED PLANS </t>
    </r>
    <r>
      <rPr>
        <sz val="10"/>
        <rFont val="Arial"/>
        <family val="2"/>
      </rPr>
      <t xml:space="preserve"> If the Grading Plans include Hardscape Improvements (curb, gutter, sidewalk, driveway cut, striping, etc.) onsite and/or offsite to be constructed from the Grading Plan, FILL in BOTH the Grading and Improvements sections above.  </t>
    </r>
    <r>
      <rPr>
        <b/>
        <sz val="10"/>
        <rFont val="Arial"/>
        <family val="2"/>
      </rPr>
      <t xml:space="preserve"> TOTAL COMBINED Plan Check Fee is shown below</t>
    </r>
  </si>
  <si>
    <r>
      <t xml:space="preserve">* See </t>
    </r>
    <r>
      <rPr>
        <b/>
        <sz val="11"/>
        <rFont val="Arial"/>
        <family val="2"/>
      </rPr>
      <t>ENCROACHMENT PERMIT</t>
    </r>
    <r>
      <rPr>
        <sz val="11"/>
        <rFont val="Arial"/>
        <family val="2"/>
      </rPr>
      <t xml:space="preserve"> below for permit calculations when an engineer's estimate is not available. </t>
    </r>
  </si>
  <si>
    <t>MAP - NEW / CHANGES</t>
  </si>
  <si>
    <t xml:space="preserve">ADMN. </t>
  </si>
  <si>
    <t xml:space="preserve">Minimum PLAN CHECK  </t>
  </si>
  <si>
    <t>Enter # of Lots Below</t>
  </si>
  <si>
    <t>PLAN CHECK TOTAL</t>
  </si>
  <si>
    <r>
      <t>**</t>
    </r>
    <r>
      <rPr>
        <b/>
        <sz val="12"/>
        <rFont val="Arial"/>
        <family val="2"/>
      </rPr>
      <t>GRADING SECURITY NOTES:</t>
    </r>
  </si>
  <si>
    <r>
      <t xml:space="preserve">50 - 2000 </t>
    </r>
    <r>
      <rPr>
        <sz val="10"/>
        <rFont val="Arial"/>
        <family val="2"/>
      </rPr>
      <t>Cubic Yards: $500.00 cash deposit</t>
    </r>
  </si>
  <si>
    <t>LOT LINE ADJUSTMENT</t>
  </si>
  <si>
    <r>
      <t>2000 - 3000</t>
    </r>
    <r>
      <rPr>
        <sz val="10"/>
        <rFont val="Arial"/>
        <family val="2"/>
      </rPr>
      <t xml:space="preserve"> Cubic Yards:   ([CY-1000] x 2) +1000 x 0.2</t>
    </r>
  </si>
  <si>
    <t>CERTIFICATE OF COMPLIANCE</t>
  </si>
  <si>
    <r>
      <t>3000 - 500,000</t>
    </r>
    <r>
      <rPr>
        <sz val="10"/>
        <rFont val="Arial"/>
        <family val="2"/>
      </rPr>
      <t xml:space="preserve"> Cubic Yards: ([CY-1000] x 2) +1000 x 0.2 - Bond/Letter of Credit amount is 80% of TOTAL SECURITY amount calculated below.   Cash deposit is 20% of total security amount.  Minimum amount is $500.00</t>
    </r>
  </si>
  <si>
    <t>PARCEL MERGER</t>
  </si>
  <si>
    <t xml:space="preserve">STREET ABANDONMENT/VACATION </t>
  </si>
  <si>
    <t>CERTIFICATE OF CORRECTION</t>
  </si>
  <si>
    <r>
      <t>500,001 - 1,000,000</t>
    </r>
    <r>
      <rPr>
        <sz val="10"/>
        <rFont val="Arial"/>
        <family val="2"/>
      </rPr>
      <t xml:space="preserve"> Cubic Yards:  ([CY-1000] x 2) +1000 x 0.2  Bond/Letter of Credit amount is 85% of TOTAL SECURITY amount calculated below.  Cash deposit is 15% of total security amount.</t>
    </r>
  </si>
  <si>
    <t>FINAL MAP (TRACT)</t>
  </si>
  <si>
    <t xml:space="preserve">PARCEL MAP </t>
  </si>
  <si>
    <t>REDESIGNED TRACT/PARCEL MAPS IN PROCESS</t>
  </si>
  <si>
    <r>
      <t>1,000,001 or greater</t>
    </r>
    <r>
      <rPr>
        <sz val="10"/>
        <rFont val="Arial"/>
        <family val="2"/>
      </rPr>
      <t xml:space="preserve"> Cubic Yards:  ([CY-1000] x 2) +1000 x 0.2    Bond/Letter of Credit amount is 90% of TOTAL SECURITY amount calculated below.   Cash deposit is 10% of total security amount</t>
    </r>
  </si>
  <si>
    <t>REVISED APPROVED TRACT/PARCEL MAPS</t>
  </si>
  <si>
    <t>EASEMENT DEDICATION / QUITCLAIM **</t>
  </si>
  <si>
    <t>OTHER PLAN CHECKS</t>
  </si>
  <si>
    <t>ADMN.</t>
  </si>
  <si>
    <t xml:space="preserve">Minimum PLAN CHECK </t>
  </si>
  <si>
    <t># OF DOCUMENTS SUBMITTED FOR REVIEW</t>
  </si>
  <si>
    <t>TOTAL</t>
  </si>
  <si>
    <t>*  Estimates based on data provided or available at the time estimate prepared and are subject to change based on the outcome of the plan check, changes in fee schedule or error.</t>
  </si>
  <si>
    <t>Storm Water Pollution Prevention Plan (SWPPP) Review</t>
  </si>
  <si>
    <t>Water Quality Management Plan (WQMP) Review</t>
  </si>
  <si>
    <t>** ANY APPLICATIONS NOT COVERED BY FEES</t>
  </si>
  <si>
    <t>Actual Cost Plus 40%</t>
  </si>
  <si>
    <t>ENCROACHMENT PERMITS</t>
  </si>
  <si>
    <r>
      <t>IMPROVEMENTS in RIGHT OF WAY - WHEN Engineer's Estimate is not available</t>
    </r>
    <r>
      <rPr>
        <b/>
        <sz val="11"/>
        <rFont val="Arial"/>
        <family val="2"/>
      </rPr>
      <t xml:space="preserve"> </t>
    </r>
    <r>
      <rPr>
        <sz val="11"/>
        <rFont val="Arial"/>
        <family val="2"/>
      </rPr>
      <t>(i.e. over the counter permits for curb, gutter, driveway approach, sidewalk, street, etc.)</t>
    </r>
  </si>
  <si>
    <t>DIRECTIONS:  Locate  Plan Type below.   Follow Plan Type row across the page filling in blanks as directed- Total shown in last column.</t>
  </si>
  <si>
    <t>BASE FEE</t>
  </si>
  <si>
    <t>FEE UNIT</t>
  </si>
  <si>
    <t>FEE RATE</t>
  </si>
  <si>
    <t>Enter Quantity Below</t>
  </si>
  <si>
    <t>Estimated Inspection Deposit</t>
  </si>
  <si>
    <t>Estimated improvement Security</t>
  </si>
  <si>
    <t>DRIVEWAY - RESIDENTIAL</t>
  </si>
  <si>
    <t>EA</t>
  </si>
  <si>
    <r>
      <t xml:space="preserve">Post Security equal to 100% of the cost of work.   </t>
    </r>
    <r>
      <rPr>
        <b/>
        <u/>
        <sz val="10"/>
        <rFont val="Arial"/>
        <family val="2"/>
      </rPr>
      <t xml:space="preserve">SUBDIVISON SECURITY: </t>
    </r>
    <r>
      <rPr>
        <b/>
        <sz val="10"/>
        <rFont val="Arial"/>
        <family val="2"/>
      </rPr>
      <t xml:space="preserve">faithful performance &amp; material and labor bond, each equal to 100% of cost of work; </t>
    </r>
    <r>
      <rPr>
        <b/>
        <u/>
        <sz val="10"/>
        <rFont val="Arial"/>
        <family val="2"/>
      </rPr>
      <t xml:space="preserve">ALL OTHERS </t>
    </r>
    <r>
      <rPr>
        <b/>
        <sz val="10"/>
        <rFont val="Arial"/>
        <family val="2"/>
      </rPr>
      <t xml:space="preserve">- Security equal to 100% of PERMIT INSPECTION DEPOSIT with a </t>
    </r>
    <r>
      <rPr>
        <b/>
        <u/>
        <sz val="10"/>
        <rFont val="Arial"/>
        <family val="2"/>
      </rPr>
      <t>minimum of 10% posted in CASH</t>
    </r>
    <r>
      <rPr>
        <b/>
        <sz val="10"/>
        <rFont val="Arial"/>
        <family val="2"/>
      </rPr>
      <t xml:space="preserve"> with the balance in the form of a bond or letter of credit.</t>
    </r>
  </si>
  <si>
    <t>DRIVEWAY - COMMERCIAL</t>
  </si>
  <si>
    <t>CATCH BASINS</t>
  </si>
  <si>
    <t>CURB and GUTTER</t>
  </si>
  <si>
    <t>Per Linear Ft</t>
  </si>
  <si>
    <t>SIDEWALK</t>
  </si>
  <si>
    <t>PAVING</t>
  </si>
  <si>
    <t>ONE TIME INSPECTION</t>
  </si>
  <si>
    <t xml:space="preserve">ROAD/LANE CLOSURE </t>
  </si>
  <si>
    <t>TOTAL ESTIMATED INSPECTION DEPOSIT</t>
  </si>
  <si>
    <t>$100.00 ADMINISTRATION FEE CHARGED PER PERMIT</t>
  </si>
  <si>
    <t>TOTAL ESTIMATE PERMIT FEE DUE</t>
  </si>
  <si>
    <r>
      <t>UTILITIES - work in</t>
    </r>
    <r>
      <rPr>
        <b/>
        <sz val="12"/>
        <rFont val="Arial"/>
        <family val="2"/>
      </rPr>
      <t xml:space="preserve"> RIGHT OF WAY  </t>
    </r>
  </si>
  <si>
    <t xml:space="preserve">  Estimated Inspection Deposit                                                                                      Security not required of public utilities     </t>
  </si>
  <si>
    <t>TRENCH - LESS THAN 200 LINEAR FEET</t>
  </si>
  <si>
    <t>TRENCH - 200 - 1000 LINEAR FEET</t>
  </si>
  <si>
    <t>TRENCH - OVER 1000 LINEAR FEET</t>
  </si>
  <si>
    <t>Each Lane</t>
  </si>
  <si>
    <t>TRAFFIC CONTROL PLAN CHECK - job less than 3 days</t>
  </si>
  <si>
    <t>Per hr</t>
  </si>
  <si>
    <t>TRAFFIC CONTROL PLAN CHECK - job longer than 3 days</t>
  </si>
  <si>
    <t>per sheet</t>
  </si>
  <si>
    <t>ONE TIME INSPECTION - i.e. potholes, bellholes, splice pits, etc.</t>
  </si>
  <si>
    <t>Kangaroo Rat Fee</t>
  </si>
  <si>
    <t>$500.00 per acre</t>
  </si>
  <si>
    <r>
      <t>PURPOSE</t>
    </r>
    <r>
      <rPr>
        <sz val="10"/>
        <rFont val="Arial"/>
        <family val="2"/>
      </rPr>
      <t xml:space="preserve">. </t>
    </r>
  </si>
  <si>
    <t xml:space="preserve">The purpose of this ordinance is to finance the preparation, development and implementation of a Habitat Conservation Plan, including the acquisition of habitat reserve sites, and the application for a Section 10(a) permit under the Federal Endangered Species Act of 1973. It is the further purpose of this ordinance to provide a method for mitigation of impacts to the Stephens' Kangaroo Rat caused by the loss of its habitat due to development during the preparation and implementation of a Habitat Conservation Plan and provide for habitat mitigation to be identified in the Habitat Conservation Plan. Mitigation of impacts to the Stephens' Kangaroo Rat will be accomplished through the review of each proposed development project within the Fee Assessment Area to determine whether on-site mitigation through the reservation or addition of lands included within or immediately adjacent to a potential habitat reserve site or payment of the Mitigation Fee or a combination of both is appropriate and furthers the ultimate Habitat Conservation Plan objectives.  </t>
  </si>
  <si>
    <t>A proposed  development project may be referred, for review, to Federal and State resource agencies based upon criteria which may be established and agreed upon by the County and said agencies.</t>
  </si>
  <si>
    <t>The ordinance provides for the establishment of this review process and satisfaction of on-site mitigation to protect potential habitat reserve sites or payment of the Mitigation Fee or a combination of both, which upon implementation will satisfy U.S. Fish and Wildlife Service, California Department of Fish and Game, as well as County mitigation requirements for the Stephens' Kangaroo Rat and its habitat which may occur within the unincorporated areas of the County designated herein.</t>
  </si>
  <si>
    <t>EXEMPTIONS:</t>
  </si>
  <si>
    <t>Reconstruction of structure damaged by natural causes</t>
  </si>
  <si>
    <t>Rehabilitation or remodeling of existing structures or additions</t>
  </si>
  <si>
    <t>Any parcel for which CDFG has approved other mitigation procedures</t>
  </si>
  <si>
    <t>Any parcel used by local, state or federal entities for governmental purposes (i.e. schools, public works)</t>
  </si>
  <si>
    <t>Any parcel for which the fee has been previously paid</t>
  </si>
  <si>
    <t>The construction of public utility transmission facilities (not including substations, treatment facilities or pumping stations)</t>
  </si>
  <si>
    <t>Development of any parcel for which approval of a tentative tract map, tentative parcel map, conditional use permit, public use permit, plot plan or surface mining permit is sought and said development will not require the construction of new or additional buildings</t>
  </si>
  <si>
    <t>Development of any parcel for which approval of an amendment, minor change or revision to a tentative tract map or tentative parcel map is sought; or development of any parcel for which approval of a request for substantial conformance or a revised conditional use permit, public use permit or plot plan is sought; or development of any parcel for which approval of an application for substantial conformance or a minor change to a surface mining permit is sought; and all grading permits necessary for the development of the parcel have previously been issued.</t>
  </si>
  <si>
    <t>16.74.040 Traffic infrastructure fee.</t>
  </si>
  <si>
    <t>To mitigate the additional traffic burdens created by new development to the City’s arterial and collector street system, a development impact fee identified as the traffic infrastructure fee will be imposed on all new development in the City to finance the costs of traffic infrastructure.1 [Ord. 1081 § 1, 2002].</t>
  </si>
  <si>
    <r>
      <t xml:space="preserve">“Residential development” means any development consisting of one or more dwelling units. For purposes of this chapter, </t>
    </r>
    <r>
      <rPr>
        <b/>
        <sz val="11"/>
        <color indexed="8"/>
        <rFont val="Arial"/>
        <family val="2"/>
      </rPr>
      <t>residential development does not mean</t>
    </r>
    <r>
      <rPr>
        <sz val="11"/>
        <color indexed="8"/>
        <rFont val="Arial"/>
        <family val="2"/>
      </rPr>
      <t>:</t>
    </r>
  </si>
  <si>
    <t>1. Any addition to an existing single-family home or accessory structures; or</t>
  </si>
  <si>
    <t>2. Repair or replacement of a residential building which has been accidentally damaged or destroyed by natural causes or human activity provided there is no increase in the number of dwelling units.</t>
  </si>
  <si>
    <t>16.74.090 Payment of development impact fees on residential development.</t>
  </si>
  <si>
    <t>After the adoption by the Council of a resolution establishing the amounts of the development impact fees, no certificate of occupancy shall be issued and no occupancy shall be permitted on any residential land within the City unless and until the development impact fees relating to such development and established by the resolution(s) adopted pursuant to this chapter has been paid unless a determination has been made by the Department that no fee is payable pursuant to this chapter. For residential development containing more than one dwelling, the development fees for the entire development shall be payable on a lump sum basis prior to the first dwelling unit in the development receiving a certificate of occupancy. If the development impact fee specified herein is not fully paid at the time of issuance of a building permit for any portion of the development, the Department may require the property owner or land developer, as a condition of issuing the building permit, to execute a contract to pay the development impact fee, or applicable portion thereof, within the time specified herein and take such other steps to secure such obligation as allowed under Government Code Section 66007(c). [Ord. 1081 § 1, 2002].</t>
  </si>
  <si>
    <t>Fee Levels - 2016 Nexus Update as adopted July 10, 2017*</t>
  </si>
  <si>
    <t>Land Use Type</t>
  </si>
  <si>
    <t>Units</t>
  </si>
  <si>
    <t>Fee Per Unit</t>
  </si>
  <si>
    <t>Single Family Residential</t>
  </si>
  <si>
    <t>DU</t>
  </si>
  <si>
    <t>8,873$</t>
  </si>
  <si>
    <t>Multi Family Residential</t>
  </si>
  <si>
    <t>Industrial</t>
  </si>
  <si>
    <t>SF GFA</t>
  </si>
  <si>
    <t>Retail**</t>
  </si>
  <si>
    <t>Service</t>
  </si>
  <si>
    <t>Class A &amp; B Office***</t>
  </si>
  <si>
    <t>2.19$</t>
  </si>
  <si>
    <t>Notes:</t>
  </si>
  <si>
    <t xml:space="preserve">Project Data:  </t>
  </si>
  <si>
    <t>Stephen's Kangaroo Rat Plan and Fee Area | Stephen's Kangaroo Rat Plan and Fee Area | Riverside County Mapping and Spatial Data Portal (arcgis.com)</t>
  </si>
  <si>
    <t>https://westernriversidecogca.portal.opengov.com/</t>
  </si>
  <si>
    <t>https://wrcog.us/DocumentCenter/View/9008/TUMF-Collection-Policy</t>
  </si>
  <si>
    <t>WRCOG Portal:</t>
  </si>
  <si>
    <t xml:space="preserve">Subbmital Guide: </t>
  </si>
  <si>
    <t>https://www.rchca.us/185/Stephens-Kangaroo-Rat-Mitigation-Fee#:~:text=The%20Mitigation%20Fee%20is%20%24500,is%20%24250%20per%20residential%20unit.</t>
  </si>
  <si>
    <t>Grading Bond Calculator</t>
  </si>
  <si>
    <t>DESCRIPTION</t>
  </si>
  <si>
    <t>Cash deposit is 20% of total security amount.  Minimum amount is $500.00</t>
  </si>
  <si>
    <t>$ TOTAL SECURITY</t>
  </si>
  <si>
    <t>**</t>
  </si>
  <si>
    <t xml:space="preserve"> ([CY-1,000]*2+1,000)*0.2</t>
  </si>
  <si>
    <t>$ Bond or Letter of Credit</t>
  </si>
  <si>
    <t>$ Cash Security</t>
  </si>
  <si>
    <t>**100% of Security may be posted as cash.</t>
  </si>
  <si>
    <r>
      <t>50 - 2,000</t>
    </r>
    <r>
      <rPr>
        <sz val="10"/>
        <rFont val="Arial"/>
      </rPr>
      <t xml:space="preserve"> Cubic Yards: $500.00 cash deposit</t>
    </r>
  </si>
  <si>
    <r>
      <t>2000 - 3000</t>
    </r>
    <r>
      <rPr>
        <sz val="10"/>
        <rFont val="Arial"/>
      </rPr>
      <t xml:space="preserve"> Cubic Yards:  Enter total yards in space provided below. </t>
    </r>
  </si>
  <si>
    <r>
      <t xml:space="preserve">3,000 - 500,000 </t>
    </r>
    <r>
      <rPr>
        <sz val="10"/>
        <rFont val="Arial"/>
      </rPr>
      <t xml:space="preserve">Cubic Yards: Enter total cubic yards in space provided below. - Bond/Letter of Credit amount is 80% of TOTAL SECURITY amount calculated below.   </t>
    </r>
  </si>
  <si>
    <r>
      <t>500,001 - 1,000,000</t>
    </r>
    <r>
      <rPr>
        <sz val="10"/>
        <rFont val="Arial"/>
      </rPr>
      <t xml:space="preserve"> Cubic Yards: Enter total cubic yards in space provided below.  Bond/Letter of Credit amount is 85% of TOTAL SECURITY amount calculated below.  </t>
    </r>
  </si>
  <si>
    <t xml:space="preserve">Cash deposit is 15% of total security amount.  </t>
  </si>
  <si>
    <r>
      <t xml:space="preserve">1,000,001 and greater </t>
    </r>
    <r>
      <rPr>
        <sz val="10"/>
        <rFont val="Arial"/>
      </rPr>
      <t xml:space="preserve">Cubic Yards: Enter total cubic yards in space provided below. Security amount is 90% of TOTAL SECURITY amount calculated below.  </t>
    </r>
  </si>
  <si>
    <t xml:space="preserve">Cash deposit is 10% of total security amount. </t>
  </si>
  <si>
    <r>
      <t xml:space="preserve">Enter </t>
    </r>
    <r>
      <rPr>
        <b/>
        <i/>
        <sz val="11"/>
        <rFont val="Arial"/>
        <family val="2"/>
      </rPr>
      <t xml:space="preserve">Total </t>
    </r>
    <r>
      <rPr>
        <b/>
        <sz val="11"/>
        <rFont val="Arial"/>
        <family val="2"/>
      </rPr>
      <t>yards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</si>
</sst>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7" formatCode="&quot;$&quot;#,##0.00_);\(&quot;$&quot;#,##0.00\)"/>
    <numFmt numFmtId="8" formatCode="&quot;$&quot;#,##0.00_);[Red]\(&quot;$&quot;#,##0.00\)"/>
    <numFmt numFmtId="164" formatCode="&quot;$&quot;#,##0.00"/>
    <numFmt numFmtId="165" formatCode="&quot;$&quot;#,##0"/>
  </numFmts>
  <fonts count="35" x14ac:knownFonts="1">
    <font>
      <sz val="10"/>
      <name val="Arial"/>
    </font>
    <font>
      <sz val="10"/>
      <name val="Arial"/>
      <family val="2"/>
    </font>
    <font>
      <b/>
      <sz val="10"/>
      <name val="Arial"/>
      <family val="2"/>
    </font>
    <font>
      <sz val="8"/>
      <name val="Arial"/>
      <family val="2"/>
    </font>
    <font>
      <b/>
      <sz val="12"/>
      <name val="Arial"/>
      <family val="2"/>
    </font>
    <font>
      <b/>
      <sz val="11"/>
      <name val="Arial"/>
      <family val="2"/>
    </font>
    <font>
      <sz val="10"/>
      <name val="Arial"/>
      <family val="2"/>
    </font>
    <font>
      <b/>
      <sz val="9"/>
      <name val="Arial"/>
      <family val="2"/>
    </font>
    <font>
      <b/>
      <sz val="14"/>
      <name val="Arial"/>
      <family val="2"/>
    </font>
    <font>
      <sz val="9"/>
      <name val="Arial"/>
      <family val="2"/>
    </font>
    <font>
      <u/>
      <sz val="10"/>
      <color indexed="12"/>
      <name val="Arial"/>
      <family val="2"/>
    </font>
    <font>
      <b/>
      <u/>
      <sz val="10"/>
      <name val="Arial"/>
      <family val="2"/>
    </font>
    <font>
      <b/>
      <sz val="8"/>
      <name val="Arial"/>
      <family val="2"/>
    </font>
    <font>
      <b/>
      <sz val="12"/>
      <color indexed="53"/>
      <name val="Arial"/>
      <family val="2"/>
    </font>
    <font>
      <sz val="11"/>
      <name val="Arial"/>
      <family val="2"/>
    </font>
    <font>
      <sz val="11"/>
      <color indexed="10"/>
      <name val="Arial"/>
      <family val="2"/>
    </font>
    <font>
      <sz val="9"/>
      <name val="Arial"/>
      <family val="2"/>
    </font>
    <font>
      <sz val="7"/>
      <name val="Arial"/>
      <family val="2"/>
    </font>
    <font>
      <b/>
      <sz val="16"/>
      <color indexed="18"/>
      <name val="Arial"/>
      <family val="2"/>
    </font>
    <font>
      <sz val="10"/>
      <color indexed="18"/>
      <name val="Arial"/>
      <family val="2"/>
    </font>
    <font>
      <b/>
      <sz val="16"/>
      <color indexed="18"/>
      <name val="Franklin Gothic Medium"/>
      <family val="2"/>
    </font>
    <font>
      <b/>
      <sz val="12"/>
      <color indexed="18"/>
      <name val="Arial"/>
      <family val="2"/>
    </font>
    <font>
      <sz val="12"/>
      <name val="Arial"/>
      <family val="2"/>
    </font>
    <font>
      <sz val="11"/>
      <name val="Arial"/>
      <family val="2"/>
    </font>
    <font>
      <sz val="12"/>
      <name val="Times New Roman"/>
      <family val="1"/>
    </font>
    <font>
      <b/>
      <sz val="11"/>
      <color indexed="8"/>
      <name val="Arial"/>
      <family val="2"/>
    </font>
    <font>
      <sz val="11"/>
      <color indexed="8"/>
      <name val="Arial"/>
      <family val="2"/>
    </font>
    <font>
      <sz val="11"/>
      <name val="Times New Roman"/>
      <family val="1"/>
    </font>
    <font>
      <b/>
      <sz val="12"/>
      <name val="Franklin Gothic Medium"/>
      <family val="2"/>
    </font>
    <font>
      <i/>
      <sz val="11"/>
      <name val="Arial"/>
      <family val="2"/>
    </font>
    <font>
      <u/>
      <sz val="10"/>
      <name val="Arial"/>
      <family val="2"/>
    </font>
    <font>
      <sz val="8.25"/>
      <color indexed="8"/>
      <name val="Microsoft Sans Serif"/>
      <family val="2"/>
    </font>
    <font>
      <b/>
      <i/>
      <sz val="11"/>
      <name val="Arial"/>
      <family val="2"/>
    </font>
    <font>
      <sz val="11"/>
      <name val="Arial"/>
    </font>
    <font>
      <b/>
      <sz val="11"/>
      <name val="Arial"/>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darkDown"/>
    </fill>
    <fill>
      <patternFill patternType="darkDown">
        <bgColor indexed="22"/>
      </patternFill>
    </fill>
    <fill>
      <patternFill patternType="solid">
        <fgColor indexed="47"/>
        <bgColor indexed="64"/>
      </patternFill>
    </fill>
    <fill>
      <patternFill patternType="solid">
        <fgColor theme="5" tint="0.39997558519241921"/>
        <bgColor indexed="64"/>
      </patternFill>
    </fill>
  </fills>
  <borders count="82">
    <border>
      <left/>
      <right/>
      <top/>
      <bottom/>
      <diagonal/>
    </border>
    <border>
      <left style="medium">
        <color indexed="64"/>
      </left>
      <right/>
      <top/>
      <bottom style="medium">
        <color indexed="64"/>
      </bottom>
      <diagonal/>
    </border>
    <border>
      <left style="double">
        <color indexed="64"/>
      </left>
      <right style="double">
        <color indexed="64"/>
      </right>
      <top/>
      <bottom style="medium">
        <color indexed="64"/>
      </bottom>
      <diagonal/>
    </border>
    <border>
      <left/>
      <right style="double">
        <color indexed="64"/>
      </right>
      <top/>
      <bottom style="medium">
        <color indexed="64"/>
      </bottom>
      <diagonal/>
    </border>
    <border>
      <left style="medium">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double">
        <color indexed="64"/>
      </left>
      <right style="double">
        <color indexed="64"/>
      </right>
      <top/>
      <bottom style="thin">
        <color indexed="64"/>
      </bottom>
      <diagonal/>
    </border>
    <border>
      <left style="double">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double">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double">
        <color indexed="64"/>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double">
        <color indexed="64"/>
      </right>
      <top/>
      <bottom/>
      <diagonal/>
    </border>
    <border>
      <left style="medium">
        <color indexed="64"/>
      </left>
      <right style="double">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double">
        <color indexed="64"/>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double">
        <color indexed="64"/>
      </right>
      <top style="medium">
        <color indexed="64"/>
      </top>
      <bottom style="double">
        <color indexed="64"/>
      </bottom>
      <diagonal/>
    </border>
    <border>
      <left/>
      <right style="thick">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medium">
        <color indexed="64"/>
      </left>
      <right/>
      <top style="medium">
        <color indexed="64"/>
      </top>
      <bottom style="double">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thick">
        <color indexed="64"/>
      </bottom>
      <diagonal/>
    </border>
    <border>
      <left style="double">
        <color indexed="64"/>
      </left>
      <right style="double">
        <color indexed="64"/>
      </right>
      <top style="medium">
        <color indexed="64"/>
      </top>
      <bottom style="thick">
        <color indexed="64"/>
      </bottom>
      <diagonal/>
    </border>
    <border>
      <left/>
      <right style="double">
        <color indexed="64"/>
      </right>
      <top style="medium">
        <color indexed="64"/>
      </top>
      <bottom style="thick">
        <color indexed="64"/>
      </bottom>
      <diagonal/>
    </border>
    <border>
      <left style="double">
        <color indexed="64"/>
      </left>
      <right style="medium">
        <color indexed="64"/>
      </right>
      <top style="medium">
        <color indexed="64"/>
      </top>
      <bottom style="thick">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style="thick">
        <color indexed="64"/>
      </bottom>
      <diagonal/>
    </border>
    <border>
      <left/>
      <right style="medium">
        <color indexed="64"/>
      </right>
      <top/>
      <bottom/>
      <diagonal/>
    </border>
    <border>
      <left/>
      <right/>
      <top style="thin">
        <color indexed="64"/>
      </top>
      <bottom/>
      <diagonal/>
    </border>
    <border>
      <left style="double">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medium">
        <color indexed="64"/>
      </left>
      <right/>
      <top style="thin">
        <color indexed="64"/>
      </top>
      <bottom/>
      <diagonal/>
    </border>
    <border>
      <left style="double">
        <color indexed="64"/>
      </left>
      <right style="double">
        <color indexed="64"/>
      </right>
      <top style="thin">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style="thin">
        <color indexed="64"/>
      </top>
      <bottom/>
      <diagonal/>
    </border>
    <border>
      <left style="medium">
        <color indexed="64"/>
      </left>
      <right style="double">
        <color indexed="64"/>
      </right>
      <top/>
      <bottom style="double">
        <color indexed="64"/>
      </bottom>
      <diagonal/>
    </border>
    <border>
      <left style="double">
        <color indexed="64"/>
      </left>
      <right/>
      <top style="medium">
        <color indexed="64"/>
      </top>
      <bottom/>
      <diagonal/>
    </border>
    <border>
      <left style="double">
        <color indexed="64"/>
      </left>
      <right style="double">
        <color indexed="64"/>
      </right>
      <top style="double">
        <color indexed="64"/>
      </top>
      <bottom/>
      <diagonal/>
    </border>
    <border>
      <left/>
      <right style="double">
        <color indexed="64"/>
      </right>
      <top/>
      <bottom style="double">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double">
        <color indexed="64"/>
      </top>
      <bottom/>
      <diagonal/>
    </border>
    <border>
      <left/>
      <right/>
      <top/>
      <bottom style="double">
        <color indexed="64"/>
      </bottom>
      <diagonal/>
    </border>
    <border>
      <left/>
      <right/>
      <top style="double">
        <color indexed="64"/>
      </top>
      <bottom/>
      <diagonal/>
    </border>
  </borders>
  <cellStyleXfs count="4">
    <xf numFmtId="0" fontId="0" fillId="0" borderId="0"/>
    <xf numFmtId="0" fontId="10" fillId="0" borderId="0" applyNumberFormat="0" applyFill="0" applyBorder="0" applyAlignment="0" applyProtection="0">
      <alignment vertical="top"/>
      <protection locked="0"/>
    </xf>
    <xf numFmtId="0" fontId="6" fillId="0" borderId="0"/>
    <xf numFmtId="0" fontId="31" fillId="0" borderId="0"/>
  </cellStyleXfs>
  <cellXfs count="377">
    <xf numFmtId="0" fontId="0" fillId="0" borderId="0" xfId="0"/>
    <xf numFmtId="0" fontId="0" fillId="0" borderId="0" xfId="0" applyAlignment="1">
      <alignment wrapText="1"/>
    </xf>
    <xf numFmtId="164" fontId="0" fillId="0" borderId="0" xfId="0" applyNumberFormat="1"/>
    <xf numFmtId="0" fontId="2" fillId="0" borderId="0" xfId="0" applyFont="1"/>
    <xf numFmtId="4" fontId="0" fillId="0" borderId="0" xfId="0" applyNumberFormat="1"/>
    <xf numFmtId="0" fontId="6" fillId="0" borderId="0" xfId="0" applyFont="1" applyAlignment="1">
      <alignment wrapText="1"/>
    </xf>
    <xf numFmtId="0" fontId="3" fillId="0" borderId="0" xfId="0" applyFont="1" applyAlignment="1">
      <alignment wrapText="1"/>
    </xf>
    <xf numFmtId="0" fontId="6" fillId="0" borderId="0" xfId="0" applyFont="1"/>
    <xf numFmtId="4" fontId="0" fillId="0" borderId="0" xfId="0" applyNumberFormat="1" applyAlignment="1">
      <alignment horizontal="center" wrapText="1"/>
    </xf>
    <xf numFmtId="0" fontId="5" fillId="0" borderId="0" xfId="0" applyFont="1" applyAlignment="1">
      <alignment horizontal="center" textRotation="90" wrapText="1"/>
    </xf>
    <xf numFmtId="0" fontId="2" fillId="0" borderId="0" xfId="0" applyFont="1" applyAlignment="1">
      <alignment horizontal="center" textRotation="90"/>
    </xf>
    <xf numFmtId="0" fontId="1" fillId="2" borderId="1" xfId="0" applyFont="1" applyFill="1" applyBorder="1" applyAlignment="1">
      <alignment horizontal="left" wrapText="1" indent="1"/>
    </xf>
    <xf numFmtId="4" fontId="1" fillId="2" borderId="2" xfId="0" applyNumberFormat="1" applyFont="1" applyFill="1" applyBorder="1" applyAlignment="1">
      <alignment horizontal="center" wrapText="1"/>
    </xf>
    <xf numFmtId="4" fontId="1" fillId="2" borderId="3" xfId="0" applyNumberFormat="1" applyFont="1" applyFill="1" applyBorder="1" applyAlignment="1">
      <alignment horizontal="center" wrapText="1"/>
    </xf>
    <xf numFmtId="0" fontId="1" fillId="0" borderId="4" xfId="0" applyFont="1" applyBorder="1" applyAlignment="1">
      <alignment horizontal="left" vertical="distributed" wrapText="1" indent="1"/>
    </xf>
    <xf numFmtId="4" fontId="1" fillId="0" borderId="5" xfId="0" applyNumberFormat="1" applyFont="1" applyBorder="1" applyAlignment="1">
      <alignment horizontal="center" wrapText="1"/>
    </xf>
    <xf numFmtId="4" fontId="1" fillId="0" borderId="6" xfId="0" applyNumberFormat="1" applyFont="1" applyBorder="1" applyAlignment="1">
      <alignment horizontal="center"/>
    </xf>
    <xf numFmtId="0" fontId="1" fillId="2" borderId="4" xfId="0" applyFont="1" applyFill="1" applyBorder="1" applyAlignment="1">
      <alignment horizontal="left" vertical="distributed" wrapText="1" indent="1"/>
    </xf>
    <xf numFmtId="4" fontId="1" fillId="2" borderId="5" xfId="0" applyNumberFormat="1" applyFont="1" applyFill="1" applyBorder="1" applyAlignment="1">
      <alignment horizontal="center" wrapText="1"/>
    </xf>
    <xf numFmtId="4" fontId="1" fillId="2" borderId="6" xfId="0" applyNumberFormat="1" applyFont="1" applyFill="1" applyBorder="1" applyAlignment="1">
      <alignment horizontal="center"/>
    </xf>
    <xf numFmtId="0" fontId="14" fillId="2" borderId="1" xfId="0" applyFont="1" applyFill="1" applyBorder="1" applyAlignment="1">
      <alignment horizontal="left" wrapText="1" indent="1"/>
    </xf>
    <xf numFmtId="0" fontId="7" fillId="0" borderId="5" xfId="0" applyFont="1" applyBorder="1" applyAlignment="1">
      <alignment horizontal="center" wrapText="1"/>
    </xf>
    <xf numFmtId="0" fontId="7" fillId="0" borderId="4" xfId="0" applyFont="1" applyBorder="1" applyAlignment="1">
      <alignment horizontal="center" wrapText="1"/>
    </xf>
    <xf numFmtId="0" fontId="7" fillId="0" borderId="7" xfId="0" applyFont="1" applyBorder="1" applyAlignment="1">
      <alignment horizontal="center" wrapText="1"/>
    </xf>
    <xf numFmtId="0" fontId="1" fillId="2" borderId="1" xfId="0" applyFont="1" applyFill="1" applyBorder="1" applyAlignment="1">
      <alignment horizontal="left" wrapText="1" indent="5"/>
    </xf>
    <xf numFmtId="3" fontId="1" fillId="2" borderId="8" xfId="0" applyNumberFormat="1" applyFont="1" applyFill="1" applyBorder="1" applyAlignment="1" applyProtection="1">
      <alignment horizontal="center" wrapText="1"/>
      <protection locked="0"/>
    </xf>
    <xf numFmtId="4" fontId="1" fillId="2" borderId="5" xfId="0" applyNumberFormat="1" applyFont="1" applyFill="1" applyBorder="1" applyAlignment="1" applyProtection="1">
      <alignment horizontal="center" wrapText="1"/>
      <protection locked="0"/>
    </xf>
    <xf numFmtId="4" fontId="2" fillId="3" borderId="9" xfId="0" applyNumberFormat="1" applyFont="1" applyFill="1" applyBorder="1"/>
    <xf numFmtId="164" fontId="0" fillId="2" borderId="10" xfId="0" applyNumberFormat="1" applyFill="1" applyBorder="1"/>
    <xf numFmtId="164" fontId="0" fillId="2" borderId="11" xfId="0" applyNumberFormat="1" applyFill="1" applyBorder="1"/>
    <xf numFmtId="0" fontId="1" fillId="0" borderId="4" xfId="0" applyFont="1" applyBorder="1" applyAlignment="1">
      <alignment horizontal="left" wrapText="1" indent="5"/>
    </xf>
    <xf numFmtId="3" fontId="1" fillId="0" borderId="12" xfId="0" applyNumberFormat="1" applyFont="1" applyBorder="1" applyAlignment="1" applyProtection="1">
      <alignment horizontal="center" wrapText="1"/>
      <protection locked="0"/>
    </xf>
    <xf numFmtId="4" fontId="1" fillId="0" borderId="5" xfId="0" applyNumberFormat="1" applyFont="1" applyBorder="1" applyAlignment="1" applyProtection="1">
      <alignment horizontal="center" wrapText="1"/>
      <protection locked="0"/>
    </xf>
    <xf numFmtId="164" fontId="0" fillId="0" borderId="13" xfId="0" applyNumberFormat="1" applyBorder="1"/>
    <xf numFmtId="164" fontId="0" fillId="0" borderId="14" xfId="0" applyNumberFormat="1" applyBorder="1"/>
    <xf numFmtId="0" fontId="1" fillId="2" borderId="4" xfId="0" applyFont="1" applyFill="1" applyBorder="1" applyAlignment="1">
      <alignment horizontal="left" wrapText="1" indent="5"/>
    </xf>
    <xf numFmtId="164" fontId="0" fillId="2" borderId="13" xfId="0" applyNumberFormat="1" applyFill="1" applyBorder="1"/>
    <xf numFmtId="164" fontId="0" fillId="2" borderId="14" xfId="0" applyNumberFormat="1" applyFill="1" applyBorder="1"/>
    <xf numFmtId="4" fontId="0" fillId="0" borderId="5" xfId="0" applyNumberFormat="1" applyBorder="1" applyAlignment="1">
      <alignment horizontal="center" wrapText="1"/>
    </xf>
    <xf numFmtId="3" fontId="1" fillId="0" borderId="15" xfId="0" applyNumberFormat="1" applyFont="1" applyBorder="1" applyAlignment="1" applyProtection="1">
      <alignment horizontal="center" wrapText="1"/>
      <protection locked="0"/>
    </xf>
    <xf numFmtId="4" fontId="0" fillId="2" borderId="5" xfId="0" applyNumberFormat="1" applyFill="1" applyBorder="1" applyAlignment="1">
      <alignment horizontal="center" wrapText="1"/>
    </xf>
    <xf numFmtId="164" fontId="0" fillId="2" borderId="16" xfId="0" applyNumberFormat="1" applyFill="1" applyBorder="1"/>
    <xf numFmtId="164" fontId="0" fillId="2" borderId="17" xfId="0" applyNumberFormat="1" applyFill="1" applyBorder="1"/>
    <xf numFmtId="3" fontId="1" fillId="0" borderId="6" xfId="0" applyNumberFormat="1" applyFont="1" applyBorder="1" applyAlignment="1" applyProtection="1">
      <alignment horizontal="center" wrapText="1"/>
      <protection locked="0"/>
    </xf>
    <xf numFmtId="0" fontId="1" fillId="0" borderId="0" xfId="0" applyFont="1" applyAlignment="1">
      <alignment horizontal="left" vertical="distributed" wrapText="1" indent="1"/>
    </xf>
    <xf numFmtId="4" fontId="1" fillId="0" borderId="0" xfId="0" applyNumberFormat="1" applyFont="1" applyAlignment="1">
      <alignment horizontal="center" wrapText="1"/>
    </xf>
    <xf numFmtId="3" fontId="1" fillId="0" borderId="0" xfId="0" applyNumberFormat="1" applyFont="1" applyAlignment="1">
      <alignment horizontal="center" wrapText="1"/>
    </xf>
    <xf numFmtId="3" fontId="1" fillId="0" borderId="0" xfId="0" applyNumberFormat="1" applyFont="1" applyAlignment="1" applyProtection="1">
      <alignment horizontal="center" wrapText="1"/>
      <protection locked="0"/>
    </xf>
    <xf numFmtId="4" fontId="2" fillId="0" borderId="0" xfId="0" applyNumberFormat="1" applyFont="1"/>
    <xf numFmtId="0" fontId="1" fillId="2" borderId="1" xfId="0" applyFont="1" applyFill="1" applyBorder="1" applyAlignment="1">
      <alignment horizontal="left" vertical="distributed" wrapText="1" indent="1"/>
    </xf>
    <xf numFmtId="164" fontId="2" fillId="3" borderId="18" xfId="0" applyNumberFormat="1" applyFont="1" applyFill="1" applyBorder="1"/>
    <xf numFmtId="0" fontId="2" fillId="0" borderId="19" xfId="0" applyFont="1" applyBorder="1" applyAlignment="1">
      <alignment horizontal="center"/>
    </xf>
    <xf numFmtId="4" fontId="2" fillId="3" borderId="7" xfId="0" applyNumberFormat="1" applyFont="1" applyFill="1" applyBorder="1"/>
    <xf numFmtId="164" fontId="0" fillId="0" borderId="1" xfId="0" applyNumberFormat="1" applyBorder="1"/>
    <xf numFmtId="0" fontId="4" fillId="4" borderId="4" xfId="0" applyFont="1" applyFill="1" applyBorder="1" applyAlignment="1">
      <alignment vertical="center" wrapText="1"/>
    </xf>
    <xf numFmtId="0" fontId="4" fillId="4" borderId="15" xfId="0" applyFont="1" applyFill="1" applyBorder="1" applyAlignment="1">
      <alignment vertical="center" wrapText="1"/>
    </xf>
    <xf numFmtId="0" fontId="4" fillId="4" borderId="7" xfId="0" applyFont="1" applyFill="1" applyBorder="1" applyAlignment="1">
      <alignment vertical="center" wrapText="1"/>
    </xf>
    <xf numFmtId="0" fontId="0" fillId="2" borderId="4" xfId="0" applyFill="1" applyBorder="1" applyAlignment="1">
      <alignment wrapText="1"/>
    </xf>
    <xf numFmtId="3" fontId="1" fillId="2" borderId="5" xfId="0" applyNumberFormat="1" applyFont="1" applyFill="1" applyBorder="1" applyAlignment="1" applyProtection="1">
      <alignment horizontal="center" wrapText="1"/>
      <protection locked="0"/>
    </xf>
    <xf numFmtId="4" fontId="2" fillId="3" borderId="20" xfId="0" applyNumberFormat="1" applyFont="1" applyFill="1" applyBorder="1"/>
    <xf numFmtId="0" fontId="0" fillId="0" borderId="4" xfId="0" applyBorder="1" applyAlignment="1">
      <alignment wrapText="1"/>
    </xf>
    <xf numFmtId="0" fontId="0" fillId="2" borderId="21" xfId="0" applyFill="1" applyBorder="1" applyAlignment="1">
      <alignment wrapText="1"/>
    </xf>
    <xf numFmtId="0" fontId="0" fillId="5" borderId="4" xfId="0" applyFill="1" applyBorder="1" applyAlignment="1">
      <alignment wrapText="1"/>
    </xf>
    <xf numFmtId="4" fontId="0" fillId="5" borderId="5" xfId="0" applyNumberFormat="1" applyFill="1" applyBorder="1" applyAlignment="1">
      <alignment horizontal="center" wrapText="1"/>
    </xf>
    <xf numFmtId="0" fontId="0" fillId="5" borderId="22" xfId="0" applyFill="1" applyBorder="1" applyAlignment="1">
      <alignment wrapText="1"/>
    </xf>
    <xf numFmtId="4" fontId="1" fillId="5" borderId="5" xfId="0" applyNumberFormat="1" applyFont="1" applyFill="1" applyBorder="1" applyAlignment="1">
      <alignment horizontal="center" wrapText="1"/>
    </xf>
    <xf numFmtId="0" fontId="0" fillId="2" borderId="1" xfId="0" applyFill="1" applyBorder="1" applyAlignment="1">
      <alignment wrapText="1"/>
    </xf>
    <xf numFmtId="4" fontId="1" fillId="6" borderId="5" xfId="0" applyNumberFormat="1" applyFont="1" applyFill="1" applyBorder="1" applyAlignment="1">
      <alignment horizontal="center" wrapText="1"/>
    </xf>
    <xf numFmtId="0" fontId="4" fillId="0" borderId="1" xfId="0" applyFont="1" applyBorder="1" applyAlignment="1">
      <alignment vertical="center" wrapText="1"/>
    </xf>
    <xf numFmtId="0" fontId="7" fillId="0" borderId="2" xfId="0" applyFont="1" applyBorder="1" applyAlignment="1">
      <alignment horizontal="center" wrapText="1"/>
    </xf>
    <xf numFmtId="0" fontId="5" fillId="0" borderId="18" xfId="0" applyFont="1" applyBorder="1" applyAlignment="1">
      <alignment horizontal="center" wrapText="1"/>
    </xf>
    <xf numFmtId="0" fontId="16" fillId="2" borderId="4" xfId="0" applyFont="1" applyFill="1" applyBorder="1" applyAlignment="1">
      <alignment wrapText="1"/>
    </xf>
    <xf numFmtId="0" fontId="1" fillId="0" borderId="23" xfId="0" applyFont="1" applyBorder="1" applyAlignment="1">
      <alignment vertical="distributed" wrapText="1"/>
    </xf>
    <xf numFmtId="4" fontId="1" fillId="0" borderId="24" xfId="0" applyNumberFormat="1" applyFont="1" applyBorder="1" applyAlignment="1">
      <alignment horizontal="center"/>
    </xf>
    <xf numFmtId="4" fontId="0" fillId="0" borderId="25" xfId="0" applyNumberFormat="1" applyBorder="1" applyAlignment="1">
      <alignment horizontal="center" wrapText="1"/>
    </xf>
    <xf numFmtId="0" fontId="0" fillId="0" borderId="25" xfId="0" applyBorder="1" applyAlignment="1" applyProtection="1">
      <alignment horizontal="center" wrapText="1"/>
      <protection locked="0"/>
    </xf>
    <xf numFmtId="0" fontId="2" fillId="2" borderId="4" xfId="0" applyFont="1" applyFill="1" applyBorder="1" applyAlignment="1">
      <alignment horizontal="left" vertical="distributed" wrapText="1" indent="1"/>
    </xf>
    <xf numFmtId="0" fontId="2" fillId="0" borderId="0" xfId="0" applyFont="1" applyAlignment="1">
      <alignment horizontal="left" wrapText="1"/>
    </xf>
    <xf numFmtId="4" fontId="6" fillId="0" borderId="0" xfId="0" applyNumberFormat="1" applyFont="1" applyAlignment="1">
      <alignment horizontal="left" wrapText="1"/>
    </xf>
    <xf numFmtId="0" fontId="4" fillId="0" borderId="4" xfId="0" applyFont="1" applyBorder="1" applyAlignment="1">
      <alignment wrapText="1"/>
    </xf>
    <xf numFmtId="0" fontId="2" fillId="0" borderId="26" xfId="0" applyFont="1" applyBorder="1" applyAlignment="1">
      <alignment horizontal="center" wrapText="1"/>
    </xf>
    <xf numFmtId="4" fontId="1" fillId="2" borderId="27" xfId="0" applyNumberFormat="1" applyFont="1" applyFill="1" applyBorder="1" applyAlignment="1">
      <alignment horizontal="center" wrapText="1"/>
    </xf>
    <xf numFmtId="0" fontId="7" fillId="0" borderId="22" xfId="0" applyFont="1" applyBorder="1" applyAlignment="1">
      <alignment horizontal="center" wrapText="1"/>
    </xf>
    <xf numFmtId="0" fontId="0" fillId="7" borderId="27" xfId="0" applyFill="1" applyBorder="1"/>
    <xf numFmtId="0" fontId="0" fillId="7" borderId="28" xfId="0" applyFill="1" applyBorder="1"/>
    <xf numFmtId="4" fontId="9" fillId="2" borderId="29" xfId="0" applyNumberFormat="1" applyFont="1" applyFill="1" applyBorder="1" applyAlignment="1">
      <alignment horizontal="center" wrapText="1"/>
    </xf>
    <xf numFmtId="4" fontId="9" fillId="0" borderId="30" xfId="0" applyNumberFormat="1" applyFont="1" applyBorder="1" applyAlignment="1">
      <alignment horizontal="center" wrapText="1"/>
    </xf>
    <xf numFmtId="164" fontId="2" fillId="3" borderId="31" xfId="0" applyNumberFormat="1" applyFont="1" applyFill="1" applyBorder="1"/>
    <xf numFmtId="164" fontId="2" fillId="3" borderId="32" xfId="0" applyNumberFormat="1" applyFont="1" applyFill="1" applyBorder="1"/>
    <xf numFmtId="164" fontId="2" fillId="3" borderId="13" xfId="0" applyNumberFormat="1" applyFont="1" applyFill="1" applyBorder="1"/>
    <xf numFmtId="164" fontId="6" fillId="2" borderId="33" xfId="0" applyNumberFormat="1" applyFont="1" applyFill="1" applyBorder="1" applyAlignment="1">
      <alignment horizontal="right"/>
    </xf>
    <xf numFmtId="164" fontId="0" fillId="2" borderId="34" xfId="0" applyNumberFormat="1" applyFill="1" applyBorder="1" applyAlignment="1">
      <alignment horizontal="right"/>
    </xf>
    <xf numFmtId="164" fontId="0" fillId="5" borderId="34" xfId="0" applyNumberFormat="1" applyFill="1" applyBorder="1" applyAlignment="1">
      <alignment horizontal="right"/>
    </xf>
    <xf numFmtId="7" fontId="0" fillId="2" borderId="35" xfId="0" applyNumberFormat="1" applyFill="1" applyBorder="1" applyAlignment="1">
      <alignment horizontal="right"/>
    </xf>
    <xf numFmtId="7" fontId="0" fillId="0" borderId="35" xfId="0" applyNumberFormat="1" applyBorder="1" applyAlignment="1">
      <alignment horizontal="right"/>
    </xf>
    <xf numFmtId="8" fontId="6" fillId="2" borderId="36" xfId="0" applyNumberFormat="1" applyFont="1" applyFill="1" applyBorder="1" applyAlignment="1">
      <alignment horizontal="right"/>
    </xf>
    <xf numFmtId="0" fontId="0" fillId="0" borderId="35" xfId="0" applyBorder="1" applyAlignment="1">
      <alignment horizontal="right" wrapText="1"/>
    </xf>
    <xf numFmtId="0" fontId="1" fillId="0" borderId="4" xfId="0" applyFont="1" applyBorder="1" applyAlignment="1">
      <alignment horizontal="left" wrapText="1" indent="1"/>
    </xf>
    <xf numFmtId="4" fontId="1" fillId="2" borderId="27" xfId="0" applyNumberFormat="1" applyFont="1" applyFill="1" applyBorder="1" applyAlignment="1">
      <alignment horizontal="center" vertical="center" wrapText="1"/>
    </xf>
    <xf numFmtId="0" fontId="7" fillId="0" borderId="37" xfId="0" applyFont="1" applyBorder="1" applyAlignment="1">
      <alignment horizontal="center" wrapText="1"/>
    </xf>
    <xf numFmtId="4" fontId="1" fillId="2" borderId="2" xfId="0" applyNumberFormat="1" applyFont="1" applyFill="1" applyBorder="1" applyAlignment="1">
      <alignment horizontal="center" vertical="center" wrapText="1"/>
    </xf>
    <xf numFmtId="164" fontId="2" fillId="3" borderId="20" xfId="0" applyNumberFormat="1" applyFont="1" applyFill="1" applyBorder="1"/>
    <xf numFmtId="4" fontId="1" fillId="2" borderId="6" xfId="0" applyNumberFormat="1" applyFont="1" applyFill="1" applyBorder="1" applyAlignment="1" applyProtection="1">
      <alignment wrapText="1"/>
      <protection locked="0"/>
    </xf>
    <xf numFmtId="4" fontId="1" fillId="2" borderId="5" xfId="0" applyNumberFormat="1" applyFont="1" applyFill="1" applyBorder="1" applyAlignment="1" applyProtection="1">
      <alignment wrapText="1"/>
      <protection locked="0"/>
    </xf>
    <xf numFmtId="4" fontId="9" fillId="4" borderId="2" xfId="0" applyNumberFormat="1" applyFont="1" applyFill="1" applyBorder="1" applyAlignment="1">
      <alignment horizontal="center" wrapText="1"/>
    </xf>
    <xf numFmtId="164" fontId="0" fillId="0" borderId="2" xfId="0" applyNumberFormat="1" applyBorder="1"/>
    <xf numFmtId="0" fontId="0" fillId="0" borderId="18" xfId="0" applyBorder="1"/>
    <xf numFmtId="165" fontId="0" fillId="0" borderId="2" xfId="0" applyNumberFormat="1" applyBorder="1"/>
    <xf numFmtId="0" fontId="3" fillId="0" borderId="18" xfId="0" applyFont="1" applyBorder="1" applyAlignment="1">
      <alignment wrapText="1"/>
    </xf>
    <xf numFmtId="0" fontId="22" fillId="0" borderId="15" xfId="0" applyFont="1" applyBorder="1" applyAlignment="1">
      <alignment vertical="top" wrapText="1"/>
    </xf>
    <xf numFmtId="0" fontId="4" fillId="0" borderId="38" xfId="0" applyFont="1" applyBorder="1" applyAlignment="1">
      <alignment vertical="top" wrapText="1"/>
    </xf>
    <xf numFmtId="0" fontId="12" fillId="0" borderId="20" xfId="0" applyFont="1" applyBorder="1" applyAlignment="1">
      <alignment horizontal="center" wrapText="1"/>
    </xf>
    <xf numFmtId="4" fontId="1" fillId="2" borderId="39" xfId="0" applyNumberFormat="1" applyFont="1" applyFill="1" applyBorder="1" applyAlignment="1">
      <alignment horizontal="center" wrapText="1"/>
    </xf>
    <xf numFmtId="4" fontId="1" fillId="0" borderId="30" xfId="0" applyNumberFormat="1" applyFont="1" applyBorder="1" applyAlignment="1">
      <alignment horizontal="center" wrapText="1"/>
    </xf>
    <xf numFmtId="4" fontId="0" fillId="2" borderId="27" xfId="0" applyNumberFormat="1" applyFill="1" applyBorder="1" applyAlignment="1">
      <alignment horizontal="center" wrapText="1"/>
    </xf>
    <xf numFmtId="4" fontId="0" fillId="0" borderId="40" xfId="0" applyNumberFormat="1" applyBorder="1" applyAlignment="1">
      <alignment horizontal="center" wrapText="1"/>
    </xf>
    <xf numFmtId="4" fontId="1" fillId="2" borderId="30" xfId="0" applyNumberFormat="1" applyFont="1" applyFill="1" applyBorder="1" applyAlignment="1">
      <alignment horizontal="center" wrapText="1"/>
    </xf>
    <xf numFmtId="165" fontId="0" fillId="0" borderId="0" xfId="0" applyNumberFormat="1"/>
    <xf numFmtId="0" fontId="7" fillId="0" borderId="41" xfId="0" applyFont="1" applyBorder="1" applyAlignment="1">
      <alignment horizontal="center" wrapText="1"/>
    </xf>
    <xf numFmtId="0" fontId="7" fillId="0" borderId="42" xfId="0" applyFont="1" applyBorder="1" applyAlignment="1">
      <alignment wrapText="1"/>
    </xf>
    <xf numFmtId="0" fontId="1" fillId="2" borderId="1" xfId="0" applyFont="1" applyFill="1" applyBorder="1" applyAlignment="1">
      <alignment horizontal="left" wrapText="1" indent="2"/>
    </xf>
    <xf numFmtId="0" fontId="1" fillId="0" borderId="0" xfId="0" applyFont="1" applyAlignment="1">
      <alignment horizontal="left" wrapText="1" indent="2"/>
    </xf>
    <xf numFmtId="4" fontId="2" fillId="0" borderId="0" xfId="0" applyNumberFormat="1" applyFont="1" applyAlignment="1">
      <alignment wrapText="1"/>
    </xf>
    <xf numFmtId="0" fontId="22" fillId="3" borderId="0" xfId="0" applyFont="1" applyFill="1"/>
    <xf numFmtId="0" fontId="8" fillId="0" borderId="43" xfId="0" applyFont="1" applyBorder="1" applyAlignment="1">
      <alignment horizontal="center" wrapText="1"/>
    </xf>
    <xf numFmtId="4" fontId="4" fillId="0" borderId="0" xfId="0" applyNumberFormat="1" applyFont="1" applyAlignment="1">
      <alignment horizontal="right" wrapText="1"/>
    </xf>
    <xf numFmtId="0" fontId="22" fillId="0" borderId="0" xfId="0" applyFont="1"/>
    <xf numFmtId="4" fontId="4" fillId="0" borderId="0" xfId="0" applyNumberFormat="1" applyFont="1" applyAlignment="1">
      <alignment horizontal="right"/>
    </xf>
    <xf numFmtId="0" fontId="4" fillId="0" borderId="0" xfId="0" applyFont="1" applyAlignment="1">
      <alignment horizontal="right"/>
    </xf>
    <xf numFmtId="0" fontId="25" fillId="0" borderId="0" xfId="0" applyFont="1" applyAlignment="1">
      <alignment horizontal="left" wrapText="1"/>
    </xf>
    <xf numFmtId="0" fontId="23" fillId="0" borderId="0" xfId="1" applyFont="1" applyAlignment="1" applyProtection="1">
      <alignment horizontal="left" wrapText="1"/>
    </xf>
    <xf numFmtId="0" fontId="23" fillId="0" borderId="0" xfId="0" applyFont="1" applyAlignment="1">
      <alignment wrapText="1"/>
    </xf>
    <xf numFmtId="0" fontId="26" fillId="0" borderId="0" xfId="0" applyFont="1" applyAlignment="1">
      <alignment wrapText="1"/>
    </xf>
    <xf numFmtId="0" fontId="27" fillId="0" borderId="0" xfId="0" applyFont="1" applyAlignment="1">
      <alignment wrapText="1"/>
    </xf>
    <xf numFmtId="0" fontId="25" fillId="0" borderId="0" xfId="0" applyFont="1" applyAlignment="1">
      <alignment wrapText="1"/>
    </xf>
    <xf numFmtId="0" fontId="24" fillId="0" borderId="0" xfId="0" applyFont="1" applyAlignment="1">
      <alignment wrapText="1"/>
    </xf>
    <xf numFmtId="0" fontId="26" fillId="0" borderId="0" xfId="0" applyFont="1" applyAlignment="1">
      <alignment horizontal="left" wrapText="1" indent="2"/>
    </xf>
    <xf numFmtId="0" fontId="2" fillId="4" borderId="1" xfId="0" applyFont="1" applyFill="1" applyBorder="1" applyAlignment="1">
      <alignment horizontal="left" wrapText="1"/>
    </xf>
    <xf numFmtId="0" fontId="4" fillId="4" borderId="15" xfId="0" applyFont="1" applyFill="1" applyBorder="1" applyAlignment="1">
      <alignment wrapText="1"/>
    </xf>
    <xf numFmtId="0" fontId="4" fillId="4" borderId="7" xfId="0" applyFont="1" applyFill="1" applyBorder="1" applyAlignment="1">
      <alignment wrapText="1"/>
    </xf>
    <xf numFmtId="4" fontId="9" fillId="4" borderId="8" xfId="0" applyNumberFormat="1" applyFont="1" applyFill="1" applyBorder="1" applyAlignment="1">
      <alignment horizontal="center" wrapText="1"/>
    </xf>
    <xf numFmtId="164" fontId="2" fillId="8" borderId="44" xfId="0" applyNumberFormat="1" applyFont="1" applyFill="1" applyBorder="1"/>
    <xf numFmtId="0" fontId="1" fillId="0" borderId="45" xfId="0" applyFont="1" applyBorder="1" applyAlignment="1">
      <alignment horizontal="left" vertical="distributed" wrapText="1" indent="1"/>
    </xf>
    <xf numFmtId="4" fontId="1" fillId="0" borderId="46" xfId="0" applyNumberFormat="1" applyFont="1" applyBorder="1" applyAlignment="1">
      <alignment horizontal="center" wrapText="1"/>
    </xf>
    <xf numFmtId="4" fontId="1" fillId="0" borderId="47" xfId="0" applyNumberFormat="1" applyFont="1" applyBorder="1" applyAlignment="1">
      <alignment horizontal="center"/>
    </xf>
    <xf numFmtId="164" fontId="2" fillId="3" borderId="48" xfId="0" applyNumberFormat="1" applyFont="1" applyFill="1" applyBorder="1"/>
    <xf numFmtId="0" fontId="11" fillId="0" borderId="0" xfId="0" applyFont="1" applyAlignment="1">
      <alignment wrapText="1"/>
    </xf>
    <xf numFmtId="0" fontId="0" fillId="0" borderId="0" xfId="0" applyAlignment="1">
      <alignment horizontal="left" wrapText="1"/>
    </xf>
    <xf numFmtId="0" fontId="11" fillId="0" borderId="0" xfId="0" applyFont="1" applyAlignment="1">
      <alignment wrapText="1" readingOrder="1"/>
    </xf>
    <xf numFmtId="4" fontId="16" fillId="2" borderId="5" xfId="0" applyNumberFormat="1" applyFont="1" applyFill="1" applyBorder="1" applyAlignment="1" applyProtection="1">
      <alignment horizontal="center" wrapText="1"/>
      <protection locked="0"/>
    </xf>
    <xf numFmtId="4" fontId="16" fillId="0" borderId="5" xfId="0" applyNumberFormat="1" applyFont="1" applyBorder="1" applyAlignment="1" applyProtection="1">
      <alignment horizontal="center" wrapText="1"/>
      <protection locked="0"/>
    </xf>
    <xf numFmtId="3" fontId="16" fillId="0" borderId="5" xfId="0" applyNumberFormat="1" applyFont="1" applyBorder="1" applyAlignment="1" applyProtection="1">
      <alignment horizontal="center" wrapText="1"/>
      <protection locked="0"/>
    </xf>
    <xf numFmtId="3" fontId="16" fillId="2" borderId="50" xfId="0" applyNumberFormat="1" applyFont="1" applyFill="1" applyBorder="1" applyAlignment="1" applyProtection="1">
      <alignment horizontal="center" vertical="center" wrapText="1"/>
      <protection locked="0"/>
    </xf>
    <xf numFmtId="3" fontId="16" fillId="0" borderId="15" xfId="0" applyNumberFormat="1" applyFont="1" applyBorder="1" applyAlignment="1" applyProtection="1">
      <alignment horizontal="center"/>
      <protection locked="0"/>
    </xf>
    <xf numFmtId="3" fontId="16" fillId="2" borderId="15" xfId="0" applyNumberFormat="1" applyFont="1" applyFill="1" applyBorder="1" applyAlignment="1" applyProtection="1">
      <alignment horizontal="center"/>
      <protection locked="0"/>
    </xf>
    <xf numFmtId="3" fontId="16" fillId="0" borderId="51" xfId="0" applyNumberFormat="1" applyFont="1" applyBorder="1" applyAlignment="1" applyProtection="1">
      <alignment horizontal="center"/>
      <protection locked="0"/>
    </xf>
    <xf numFmtId="0" fontId="6" fillId="0" borderId="0" xfId="2"/>
    <xf numFmtId="6" fontId="0" fillId="0" borderId="0" xfId="0" applyNumberFormat="1"/>
    <xf numFmtId="8" fontId="0" fillId="0" borderId="0" xfId="0" applyNumberFormat="1"/>
    <xf numFmtId="164" fontId="0" fillId="10" borderId="34" xfId="0" applyNumberFormat="1" applyFill="1" applyBorder="1" applyAlignment="1">
      <alignment horizontal="right"/>
    </xf>
    <xf numFmtId="7" fontId="0" fillId="10" borderId="54" xfId="0" applyNumberFormat="1" applyFill="1" applyBorder="1" applyAlignment="1">
      <alignment horizontal="right"/>
    </xf>
    <xf numFmtId="4" fontId="9" fillId="2" borderId="2" xfId="0" applyNumberFormat="1" applyFont="1" applyFill="1" applyBorder="1" applyAlignment="1">
      <alignment horizontal="center" wrapText="1"/>
    </xf>
    <xf numFmtId="3" fontId="1" fillId="2" borderId="12" xfId="0" applyNumberFormat="1" applyFont="1" applyFill="1" applyBorder="1" applyAlignment="1" applyProtection="1">
      <alignment horizontal="center" wrapText="1"/>
      <protection locked="0"/>
    </xf>
    <xf numFmtId="0" fontId="10" fillId="0" borderId="0" xfId="1" applyAlignment="1" applyProtection="1"/>
    <xf numFmtId="0" fontId="0" fillId="0" borderId="0" xfId="0" applyAlignment="1">
      <alignment vertical="center"/>
    </xf>
    <xf numFmtId="0" fontId="0" fillId="0" borderId="23" xfId="0" applyBorder="1"/>
    <xf numFmtId="0" fontId="0" fillId="0" borderId="65" xfId="0" applyBorder="1"/>
    <xf numFmtId="0" fontId="0" fillId="0" borderId="31" xfId="0" applyBorder="1"/>
    <xf numFmtId="0" fontId="0" fillId="0" borderId="21" xfId="0" applyBorder="1"/>
    <xf numFmtId="0" fontId="5" fillId="0" borderId="0" xfId="0" applyFont="1"/>
    <xf numFmtId="0" fontId="0" fillId="0" borderId="52" xfId="0" applyBorder="1"/>
    <xf numFmtId="3" fontId="33" fillId="3" borderId="9" xfId="0" applyNumberFormat="1" applyFont="1" applyFill="1" applyBorder="1" applyProtection="1">
      <protection locked="0"/>
    </xf>
    <xf numFmtId="0" fontId="33" fillId="0" borderId="0" xfId="0" applyFont="1"/>
    <xf numFmtId="3" fontId="33" fillId="0" borderId="0" xfId="0" applyNumberFormat="1" applyFont="1"/>
    <xf numFmtId="165" fontId="33" fillId="3" borderId="80" xfId="0" applyNumberFormat="1" applyFont="1" applyFill="1" applyBorder="1"/>
    <xf numFmtId="0" fontId="33" fillId="0" borderId="52" xfId="0" applyFont="1" applyBorder="1"/>
    <xf numFmtId="0" fontId="34" fillId="0" borderId="0" xfId="0" applyFont="1"/>
    <xf numFmtId="0" fontId="0" fillId="0" borderId="1" xfId="0" applyBorder="1"/>
    <xf numFmtId="0" fontId="0" fillId="0" borderId="50" xfId="0" applyBorder="1"/>
    <xf numFmtId="0" fontId="2" fillId="0" borderId="50" xfId="0" applyFont="1" applyBorder="1" applyAlignment="1">
      <alignment horizontal="right"/>
    </xf>
    <xf numFmtId="165" fontId="2" fillId="0" borderId="50" xfId="0" applyNumberFormat="1" applyFont="1" applyBorder="1"/>
    <xf numFmtId="4" fontId="2" fillId="3" borderId="55" xfId="0" applyNumberFormat="1" applyFont="1" applyFill="1" applyBorder="1" applyAlignment="1">
      <alignment horizontal="center"/>
    </xf>
    <xf numFmtId="4" fontId="2" fillId="3" borderId="56" xfId="0" applyNumberFormat="1" applyFont="1" applyFill="1" applyBorder="1" applyAlignment="1">
      <alignment horizontal="center"/>
    </xf>
    <xf numFmtId="4" fontId="2" fillId="3" borderId="57" xfId="0" applyNumberFormat="1" applyFont="1" applyFill="1" applyBorder="1" applyAlignment="1">
      <alignment horizontal="center"/>
    </xf>
    <xf numFmtId="4" fontId="0" fillId="0" borderId="49" xfId="0" applyNumberFormat="1" applyBorder="1" applyAlignment="1">
      <alignment horizontal="center" wrapText="1"/>
    </xf>
    <xf numFmtId="4" fontId="0" fillId="0" borderId="58" xfId="0" applyNumberFormat="1" applyBorder="1" applyAlignment="1">
      <alignment horizontal="center" wrapText="1"/>
    </xf>
    <xf numFmtId="4" fontId="0" fillId="0" borderId="59" xfId="0" applyNumberFormat="1" applyBorder="1" applyAlignment="1">
      <alignment horizontal="center" wrapText="1"/>
    </xf>
    <xf numFmtId="0" fontId="7" fillId="0" borderId="60" xfId="0" applyFont="1" applyBorder="1" applyAlignment="1">
      <alignment horizontal="center" wrapText="1"/>
    </xf>
    <xf numFmtId="0" fontId="7" fillId="0" borderId="53" xfId="0" applyFont="1" applyBorder="1" applyAlignment="1">
      <alignment horizontal="center" wrapText="1"/>
    </xf>
    <xf numFmtId="0" fontId="7" fillId="0" borderId="61" xfId="0" applyFont="1" applyBorder="1" applyAlignment="1">
      <alignment horizontal="center" wrapText="1"/>
    </xf>
    <xf numFmtId="4" fontId="2" fillId="3" borderId="62" xfId="0" applyNumberFormat="1" applyFont="1" applyFill="1" applyBorder="1" applyAlignment="1">
      <alignment horizontal="center"/>
    </xf>
    <xf numFmtId="4" fontId="2" fillId="3" borderId="63" xfId="0" applyNumberFormat="1" applyFont="1" applyFill="1" applyBorder="1" applyAlignment="1">
      <alignment horizontal="center"/>
    </xf>
    <xf numFmtId="4" fontId="2" fillId="3" borderId="64" xfId="0" applyNumberFormat="1" applyFont="1" applyFill="1" applyBorder="1" applyAlignment="1">
      <alignment horizontal="center"/>
    </xf>
    <xf numFmtId="4" fontId="1" fillId="2" borderId="2" xfId="0" applyNumberFormat="1" applyFont="1" applyFill="1" applyBorder="1" applyAlignment="1" applyProtection="1">
      <alignment horizontal="center" wrapText="1"/>
      <protection locked="0"/>
    </xf>
    <xf numFmtId="4" fontId="1" fillId="2" borderId="8" xfId="0" applyNumberFormat="1" applyFont="1" applyFill="1" applyBorder="1" applyAlignment="1" applyProtection="1">
      <alignment horizontal="center" wrapText="1"/>
      <protection locked="0"/>
    </xf>
    <xf numFmtId="0" fontId="4" fillId="4" borderId="4" xfId="0" applyFont="1" applyFill="1" applyBorder="1" applyAlignment="1">
      <alignment horizontal="center"/>
    </xf>
    <xf numFmtId="0" fontId="4" fillId="4" borderId="15" xfId="0" applyFont="1" applyFill="1" applyBorder="1" applyAlignment="1">
      <alignment horizontal="center"/>
    </xf>
    <xf numFmtId="0" fontId="4" fillId="4" borderId="7" xfId="0" applyFont="1" applyFill="1" applyBorder="1" applyAlignment="1">
      <alignment horizontal="center"/>
    </xf>
    <xf numFmtId="0" fontId="23" fillId="0" borderId="65" xfId="0" applyFont="1" applyBorder="1" applyAlignment="1">
      <alignment horizontal="left" wrapText="1"/>
    </xf>
    <xf numFmtId="0" fontId="2" fillId="0" borderId="66" xfId="0" applyFont="1" applyBorder="1" applyAlignment="1">
      <alignment horizontal="center" wrapText="1"/>
    </xf>
    <xf numFmtId="0" fontId="2" fillId="0" borderId="67" xfId="0" applyFont="1" applyBorder="1" applyAlignment="1">
      <alignment horizontal="center" wrapText="1"/>
    </xf>
    <xf numFmtId="0" fontId="2" fillId="0" borderId="24" xfId="0" applyFont="1" applyBorder="1" applyAlignment="1">
      <alignment horizontal="center" wrapText="1"/>
    </xf>
    <xf numFmtId="0" fontId="2" fillId="0" borderId="41" xfId="0" applyFont="1" applyBorder="1" applyAlignment="1">
      <alignment horizontal="center" wrapText="1"/>
    </xf>
    <xf numFmtId="0" fontId="1" fillId="0" borderId="21" xfId="0" applyFont="1" applyBorder="1" applyAlignment="1">
      <alignment horizontal="center" vertical="distributed" wrapText="1"/>
    </xf>
    <xf numFmtId="0" fontId="1" fillId="0" borderId="0" xfId="0" applyFont="1" applyAlignment="1">
      <alignment horizontal="center" vertical="distributed" wrapText="1"/>
    </xf>
    <xf numFmtId="0" fontId="1" fillId="0" borderId="52" xfId="0" applyFont="1" applyBorder="1" applyAlignment="1">
      <alignment horizontal="center" vertical="distributed" wrapText="1"/>
    </xf>
    <xf numFmtId="0" fontId="0" fillId="2" borderId="8"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2" fillId="2" borderId="68" xfId="0" applyFont="1" applyFill="1" applyBorder="1" applyAlignment="1">
      <alignment horizontal="center" wrapText="1"/>
    </xf>
    <xf numFmtId="0" fontId="2" fillId="2" borderId="61" xfId="0" applyFont="1" applyFill="1" applyBorder="1" applyAlignment="1">
      <alignment horizontal="center" wrapText="1"/>
    </xf>
    <xf numFmtId="0" fontId="2" fillId="2" borderId="1" xfId="0" applyFont="1" applyFill="1" applyBorder="1" applyAlignment="1">
      <alignment horizontal="center" wrapText="1"/>
    </xf>
    <xf numFmtId="0" fontId="2" fillId="2" borderId="3" xfId="0" applyFont="1" applyFill="1" applyBorder="1" applyAlignment="1">
      <alignment horizontal="center" wrapText="1"/>
    </xf>
    <xf numFmtId="164" fontId="16" fillId="2" borderId="69" xfId="0" applyNumberFormat="1" applyFont="1" applyFill="1" applyBorder="1" applyAlignment="1">
      <alignment horizontal="right" wrapText="1"/>
    </xf>
    <xf numFmtId="164" fontId="16" fillId="2" borderId="2" xfId="0" applyNumberFormat="1" applyFont="1" applyFill="1" applyBorder="1" applyAlignment="1">
      <alignment horizontal="right" wrapText="1"/>
    </xf>
    <xf numFmtId="164" fontId="2" fillId="3" borderId="4" xfId="0" applyNumberFormat="1" applyFont="1" applyFill="1" applyBorder="1" applyAlignment="1">
      <alignment horizontal="right" wrapText="1"/>
    </xf>
    <xf numFmtId="164" fontId="2" fillId="3" borderId="7" xfId="0" applyNumberFormat="1" applyFont="1" applyFill="1" applyBorder="1" applyAlignment="1">
      <alignment horizontal="right" wrapText="1"/>
    </xf>
    <xf numFmtId="0" fontId="4" fillId="4" borderId="2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15" fillId="0" borderId="21" xfId="0" applyFont="1" applyBorder="1" applyAlignment="1">
      <alignment horizontal="center" wrapText="1"/>
    </xf>
    <xf numFmtId="0" fontId="15" fillId="0" borderId="0" xfId="0" applyFont="1" applyAlignment="1">
      <alignment horizontal="center" wrapText="1"/>
    </xf>
    <xf numFmtId="0" fontId="15" fillId="0" borderId="52" xfId="0" applyFont="1" applyBorder="1" applyAlignment="1">
      <alignment horizontal="center" wrapText="1"/>
    </xf>
    <xf numFmtId="0" fontId="16" fillId="0" borderId="66" xfId="0" applyFont="1" applyBorder="1" applyAlignment="1">
      <alignment horizontal="left" vertical="center" wrapText="1"/>
    </xf>
    <xf numFmtId="0" fontId="16" fillId="0" borderId="71" xfId="0" applyFont="1" applyBorder="1" applyAlignment="1">
      <alignment horizontal="left" vertical="center" wrapText="1"/>
    </xf>
    <xf numFmtId="0" fontId="16" fillId="0" borderId="44" xfId="0" applyFont="1" applyBorder="1" applyAlignment="1">
      <alignment horizontal="left" vertical="center" wrapText="1"/>
    </xf>
    <xf numFmtId="0" fontId="4" fillId="0" borderId="29" xfId="0" applyFont="1" applyBorder="1" applyAlignment="1">
      <alignment horizontal="left" wrapText="1"/>
    </xf>
    <xf numFmtId="0" fontId="4" fillId="0" borderId="27" xfId="0" applyFont="1" applyBorder="1" applyAlignment="1">
      <alignment horizontal="left" wrapText="1"/>
    </xf>
    <xf numFmtId="3" fontId="4" fillId="9" borderId="23" xfId="0" applyNumberFormat="1" applyFont="1" applyFill="1" applyBorder="1" applyAlignment="1" applyProtection="1">
      <alignment horizontal="left" wrapText="1" indent="1"/>
      <protection locked="0"/>
    </xf>
    <xf numFmtId="3" fontId="2" fillId="9" borderId="65" xfId="0" applyNumberFormat="1" applyFont="1" applyFill="1" applyBorder="1" applyAlignment="1" applyProtection="1">
      <alignment horizontal="left" wrapText="1" indent="1"/>
      <protection locked="0"/>
    </xf>
    <xf numFmtId="3" fontId="2" fillId="9" borderId="31" xfId="0" applyNumberFormat="1" applyFont="1" applyFill="1" applyBorder="1" applyAlignment="1" applyProtection="1">
      <alignment horizontal="left" wrapText="1" indent="1"/>
      <protection locked="0"/>
    </xf>
    <xf numFmtId="3" fontId="2" fillId="9" borderId="21" xfId="0" applyNumberFormat="1" applyFont="1" applyFill="1" applyBorder="1" applyAlignment="1" applyProtection="1">
      <alignment horizontal="left" wrapText="1" indent="1"/>
      <protection locked="0"/>
    </xf>
    <xf numFmtId="3" fontId="2" fillId="9" borderId="0" xfId="0" applyNumberFormat="1" applyFont="1" applyFill="1" applyAlignment="1" applyProtection="1">
      <alignment horizontal="left" wrapText="1" indent="1"/>
      <protection locked="0"/>
    </xf>
    <xf numFmtId="3" fontId="2" fillId="9" borderId="52" xfId="0" applyNumberFormat="1" applyFont="1" applyFill="1" applyBorder="1" applyAlignment="1" applyProtection="1">
      <alignment horizontal="left" wrapText="1" indent="1"/>
      <protection locked="0"/>
    </xf>
    <xf numFmtId="4" fontId="7" fillId="0" borderId="70" xfId="0" applyNumberFormat="1" applyFont="1" applyBorder="1" applyAlignment="1">
      <alignment horizontal="center" wrapText="1"/>
    </xf>
    <xf numFmtId="4" fontId="7" fillId="0" borderId="73" xfId="0" applyNumberFormat="1" applyFont="1" applyBorder="1" applyAlignment="1">
      <alignment horizontal="center" wrapText="1"/>
    </xf>
    <xf numFmtId="0" fontId="1" fillId="9" borderId="1" xfId="0" applyFont="1" applyFill="1" applyBorder="1" applyAlignment="1">
      <alignment horizontal="right" wrapText="1"/>
    </xf>
    <xf numFmtId="0" fontId="1" fillId="9" borderId="50" xfId="0" applyFont="1" applyFill="1" applyBorder="1" applyAlignment="1">
      <alignment horizontal="right" wrapText="1"/>
    </xf>
    <xf numFmtId="0" fontId="4" fillId="4" borderId="4" xfId="0" applyFont="1" applyFill="1" applyBorder="1" applyAlignment="1">
      <alignment horizontal="center" wrapText="1"/>
    </xf>
    <xf numFmtId="0" fontId="4" fillId="4" borderId="15" xfId="0" applyFont="1" applyFill="1" applyBorder="1" applyAlignment="1">
      <alignment horizontal="center" wrapText="1"/>
    </xf>
    <xf numFmtId="0" fontId="4" fillId="4" borderId="7" xfId="0" applyFont="1" applyFill="1" applyBorder="1" applyAlignment="1">
      <alignment horizontal="center" wrapText="1"/>
    </xf>
    <xf numFmtId="0" fontId="2" fillId="0" borderId="23" xfId="0" applyFont="1" applyBorder="1" applyAlignment="1">
      <alignment horizontal="left" wrapText="1"/>
    </xf>
    <xf numFmtId="0" fontId="6" fillId="0" borderId="65" xfId="0" applyFont="1" applyBorder="1" applyAlignment="1">
      <alignment horizontal="left" wrapText="1"/>
    </xf>
    <xf numFmtId="0" fontId="6" fillId="0" borderId="31" xfId="0" applyFont="1" applyBorder="1" applyAlignment="1">
      <alignment horizontal="left" wrapText="1"/>
    </xf>
    <xf numFmtId="0" fontId="6" fillId="0" borderId="21" xfId="0" applyFont="1" applyBorder="1" applyAlignment="1">
      <alignment horizontal="left" wrapText="1"/>
    </xf>
    <xf numFmtId="0" fontId="6" fillId="0" borderId="0" xfId="0" applyFont="1" applyAlignment="1">
      <alignment horizontal="left" wrapText="1"/>
    </xf>
    <xf numFmtId="0" fontId="6" fillId="0" borderId="52" xfId="0" applyFont="1" applyBorder="1" applyAlignment="1">
      <alignment horizontal="left" wrapText="1"/>
    </xf>
    <xf numFmtId="0" fontId="6" fillId="0" borderId="1" xfId="0" applyFont="1" applyBorder="1" applyAlignment="1">
      <alignment horizontal="left" wrapText="1"/>
    </xf>
    <xf numFmtId="0" fontId="6" fillId="0" borderId="50" xfId="0" applyFont="1" applyBorder="1" applyAlignment="1">
      <alignment horizontal="left" wrapText="1"/>
    </xf>
    <xf numFmtId="0" fontId="6" fillId="0" borderId="18" xfId="0" applyFont="1" applyBorder="1" applyAlignment="1">
      <alignment horizontal="left" wrapText="1"/>
    </xf>
    <xf numFmtId="0" fontId="2" fillId="0" borderId="44" xfId="0" applyFont="1" applyBorder="1" applyAlignment="1">
      <alignment horizontal="center" wrapText="1"/>
    </xf>
    <xf numFmtId="4" fontId="7" fillId="0" borderId="24" xfId="0" applyNumberFormat="1" applyFont="1" applyBorder="1" applyAlignment="1">
      <alignment horizontal="center" wrapText="1"/>
    </xf>
    <xf numFmtId="4" fontId="7" fillId="0" borderId="2" xfId="0" applyNumberFormat="1" applyFont="1" applyBorder="1" applyAlignment="1">
      <alignment horizontal="center" wrapText="1"/>
    </xf>
    <xf numFmtId="0" fontId="20" fillId="0" borderId="21" xfId="0" applyFont="1" applyBorder="1" applyAlignment="1">
      <alignment horizontal="center" wrapText="1"/>
    </xf>
    <xf numFmtId="0" fontId="20" fillId="0" borderId="0" xfId="0" applyFont="1" applyAlignment="1">
      <alignment horizontal="center" wrapText="1"/>
    </xf>
    <xf numFmtId="0" fontId="20" fillId="0" borderId="52" xfId="0" applyFont="1" applyBorder="1" applyAlignment="1">
      <alignment horizontal="center" wrapText="1"/>
    </xf>
    <xf numFmtId="0" fontId="4" fillId="4" borderId="70"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4" borderId="27" xfId="0" applyFont="1" applyFill="1" applyBorder="1" applyAlignment="1">
      <alignment horizontal="left" vertical="center" wrapText="1"/>
    </xf>
    <xf numFmtId="4" fontId="7" fillId="0" borderId="25" xfId="0" applyNumberFormat="1" applyFont="1" applyBorder="1" applyAlignment="1">
      <alignment horizontal="center" wrapText="1"/>
    </xf>
    <xf numFmtId="4" fontId="7" fillId="0" borderId="65" xfId="0" applyNumberFormat="1" applyFont="1" applyBorder="1" applyAlignment="1">
      <alignment horizontal="center" wrapText="1"/>
    </xf>
    <xf numFmtId="4" fontId="7" fillId="0" borderId="0" xfId="0" applyNumberFormat="1" applyFont="1" applyAlignment="1">
      <alignment horizontal="center" wrapText="1"/>
    </xf>
    <xf numFmtId="4" fontId="7" fillId="0" borderId="50" xfId="0" applyNumberFormat="1" applyFont="1" applyBorder="1" applyAlignment="1">
      <alignment horizontal="center" wrapText="1"/>
    </xf>
    <xf numFmtId="0" fontId="2" fillId="0" borderId="71" xfId="0" applyFont="1" applyBorder="1" applyAlignment="1">
      <alignment horizontal="center" wrapText="1"/>
    </xf>
    <xf numFmtId="0" fontId="2" fillId="0" borderId="23" xfId="0" applyFont="1" applyBorder="1" applyAlignment="1" applyProtection="1">
      <alignment horizontal="left" vertical="top" wrapText="1"/>
      <protection locked="0"/>
    </xf>
    <xf numFmtId="0" fontId="2" fillId="0" borderId="65"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164" fontId="0" fillId="2" borderId="72" xfId="0" applyNumberFormat="1" applyFill="1" applyBorder="1" applyAlignment="1">
      <alignment horizontal="right"/>
    </xf>
    <xf numFmtId="164" fontId="0" fillId="2" borderId="44" xfId="0" applyNumberFormat="1" applyFill="1" applyBorder="1" applyAlignment="1">
      <alignment horizontal="right"/>
    </xf>
    <xf numFmtId="0" fontId="18" fillId="0" borderId="23" xfId="0" applyFont="1" applyBorder="1" applyAlignment="1">
      <alignment horizontal="center" wrapText="1"/>
    </xf>
    <xf numFmtId="0" fontId="19" fillId="0" borderId="65" xfId="0" applyFont="1" applyBorder="1" applyAlignment="1">
      <alignment horizontal="center" wrapText="1"/>
    </xf>
    <xf numFmtId="0" fontId="19" fillId="0" borderId="31" xfId="0" applyFont="1" applyBorder="1" applyAlignment="1">
      <alignment horizontal="center" wrapText="1"/>
    </xf>
    <xf numFmtId="0" fontId="7" fillId="0" borderId="70" xfId="0" applyFont="1" applyBorder="1" applyAlignment="1">
      <alignment horizontal="center" wrapText="1"/>
    </xf>
    <xf numFmtId="0" fontId="7" fillId="0" borderId="73" xfId="0" applyFont="1" applyBorder="1" applyAlignment="1">
      <alignment horizontal="center" wrapText="1"/>
    </xf>
    <xf numFmtId="0" fontId="7" fillId="0" borderId="24" xfId="0" applyFont="1" applyBorder="1" applyAlignment="1">
      <alignment horizontal="center" wrapText="1"/>
    </xf>
    <xf numFmtId="0" fontId="7" fillId="0" borderId="41" xfId="0" applyFont="1" applyBorder="1" applyAlignment="1">
      <alignment horizontal="center" wrapText="1"/>
    </xf>
    <xf numFmtId="0" fontId="2" fillId="0" borderId="74" xfId="0" applyFont="1" applyBorder="1" applyAlignment="1">
      <alignment horizontal="center" wrapText="1"/>
    </xf>
    <xf numFmtId="0" fontId="2" fillId="0" borderId="42" xfId="0" applyFont="1" applyBorder="1" applyAlignment="1">
      <alignment horizontal="center" wrapText="1"/>
    </xf>
    <xf numFmtId="0" fontId="28" fillId="0" borderId="1"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18" xfId="0" applyFont="1" applyBorder="1" applyAlignment="1">
      <alignment horizontal="center" vertical="center" wrapText="1"/>
    </xf>
    <xf numFmtId="0" fontId="20" fillId="0" borderId="1" xfId="0" applyFont="1" applyBorder="1" applyAlignment="1">
      <alignment horizontal="center" wrapText="1"/>
    </xf>
    <xf numFmtId="0" fontId="20" fillId="0" borderId="50" xfId="0" applyFont="1" applyBorder="1" applyAlignment="1">
      <alignment horizontal="center" wrapText="1"/>
    </xf>
    <xf numFmtId="0" fontId="20" fillId="0" borderId="18" xfId="0" applyFont="1" applyBorder="1" applyAlignment="1">
      <alignment horizontal="center" wrapText="1"/>
    </xf>
    <xf numFmtId="0" fontId="0" fillId="4" borderId="4" xfId="0" applyFill="1" applyBorder="1" applyAlignment="1">
      <alignment horizontal="center"/>
    </xf>
    <xf numFmtId="0" fontId="0" fillId="4" borderId="15" xfId="0" applyFill="1" applyBorder="1" applyAlignment="1">
      <alignment horizontal="center"/>
    </xf>
    <xf numFmtId="0" fontId="0" fillId="4" borderId="7" xfId="0" applyFill="1" applyBorder="1" applyAlignment="1">
      <alignment horizontal="center"/>
    </xf>
    <xf numFmtId="0" fontId="0" fillId="0" borderId="0" xfId="0" applyAlignment="1">
      <alignment horizontal="center"/>
    </xf>
    <xf numFmtId="0" fontId="2" fillId="0" borderId="21" xfId="0" applyFont="1" applyBorder="1" applyAlignment="1">
      <alignment horizontal="left" vertical="center" wrapText="1"/>
    </xf>
    <xf numFmtId="0" fontId="2" fillId="0" borderId="0" xfId="0" applyFont="1" applyAlignment="1">
      <alignment horizontal="left" vertical="center" wrapText="1"/>
    </xf>
    <xf numFmtId="0" fontId="2" fillId="0" borderId="52" xfId="0" applyFont="1" applyBorder="1" applyAlignment="1">
      <alignment horizontal="left" vertical="center" wrapText="1"/>
    </xf>
    <xf numFmtId="0" fontId="2" fillId="0" borderId="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left" wrapText="1" indent="1"/>
    </xf>
    <xf numFmtId="0" fontId="7" fillId="0" borderId="12" xfId="0" applyFont="1" applyBorder="1" applyAlignment="1">
      <alignment horizontal="center" wrapText="1"/>
    </xf>
    <xf numFmtId="0" fontId="7" fillId="0" borderId="6" xfId="0" applyFont="1" applyBorder="1" applyAlignment="1">
      <alignment horizontal="center" wrapText="1"/>
    </xf>
    <xf numFmtId="0" fontId="1" fillId="0" borderId="4" xfId="0" applyFont="1" applyBorder="1" applyAlignment="1">
      <alignment horizontal="right" wrapText="1"/>
    </xf>
    <xf numFmtId="0" fontId="1" fillId="0" borderId="15" xfId="0" applyFont="1" applyBorder="1" applyAlignment="1">
      <alignment horizontal="right" wrapText="1"/>
    </xf>
    <xf numFmtId="3" fontId="1" fillId="2" borderId="12" xfId="0" applyNumberFormat="1" applyFont="1" applyFill="1" applyBorder="1" applyAlignment="1" applyProtection="1">
      <alignment horizontal="center" wrapText="1"/>
      <protection locked="0"/>
    </xf>
    <xf numFmtId="3" fontId="1" fillId="2" borderId="6" xfId="0" applyNumberFormat="1" applyFont="1" applyFill="1" applyBorder="1" applyAlignment="1" applyProtection="1">
      <alignment horizontal="center" wrapText="1"/>
      <protection locked="0"/>
    </xf>
    <xf numFmtId="0" fontId="0" fillId="0" borderId="1" xfId="0" applyBorder="1" applyAlignment="1">
      <alignment horizontal="center" vertical="center" wrapText="1"/>
    </xf>
    <xf numFmtId="0" fontId="0" fillId="0" borderId="50" xfId="0" applyBorder="1" applyAlignment="1">
      <alignment horizontal="center" vertical="center" wrapText="1"/>
    </xf>
    <xf numFmtId="0" fontId="0" fillId="0" borderId="18" xfId="0" applyBorder="1" applyAlignment="1">
      <alignment horizontal="center" vertical="center" wrapText="1"/>
    </xf>
    <xf numFmtId="0" fontId="2" fillId="0" borderId="21" xfId="0" applyFont="1" applyBorder="1" applyAlignment="1">
      <alignment horizontal="left" wrapText="1"/>
    </xf>
    <xf numFmtId="0" fontId="2" fillId="0" borderId="0" xfId="0" applyFont="1" applyAlignment="1">
      <alignment horizontal="left" wrapText="1"/>
    </xf>
    <xf numFmtId="0" fontId="2" fillId="0" borderId="52" xfId="0" applyFont="1" applyBorder="1" applyAlignment="1">
      <alignment horizontal="left" wrapText="1"/>
    </xf>
    <xf numFmtId="0" fontId="16" fillId="0" borderId="0" xfId="0" applyFont="1" applyAlignment="1">
      <alignment horizontal="center" wrapText="1"/>
    </xf>
    <xf numFmtId="4" fontId="2" fillId="3" borderId="2" xfId="0" applyNumberFormat="1" applyFont="1" applyFill="1" applyBorder="1" applyAlignment="1">
      <alignment horizontal="right"/>
    </xf>
    <xf numFmtId="4" fontId="2" fillId="3" borderId="8" xfId="0" applyNumberFormat="1" applyFont="1" applyFill="1" applyBorder="1" applyAlignment="1">
      <alignment horizontal="right"/>
    </xf>
    <xf numFmtId="4" fontId="4" fillId="3" borderId="81" xfId="0" applyNumberFormat="1" applyFont="1" applyFill="1" applyBorder="1" applyAlignment="1">
      <alignment horizontal="right"/>
    </xf>
    <xf numFmtId="0" fontId="4" fillId="3" borderId="81" xfId="0" applyFont="1" applyFill="1" applyBorder="1" applyAlignment="1">
      <alignment horizontal="right"/>
    </xf>
    <xf numFmtId="4" fontId="4" fillId="3" borderId="0" xfId="0" applyNumberFormat="1" applyFont="1" applyFill="1" applyAlignment="1">
      <alignment horizontal="right" wrapText="1"/>
    </xf>
    <xf numFmtId="4" fontId="2" fillId="3" borderId="12" xfId="0" applyNumberFormat="1" applyFont="1" applyFill="1" applyBorder="1" applyAlignment="1">
      <alignment horizontal="center"/>
    </xf>
    <xf numFmtId="4" fontId="2" fillId="3" borderId="15" xfId="0" applyNumberFormat="1" applyFont="1" applyFill="1" applyBorder="1" applyAlignment="1">
      <alignment horizontal="center"/>
    </xf>
    <xf numFmtId="4" fontId="2" fillId="3" borderId="7" xfId="0" applyNumberFormat="1" applyFont="1" applyFill="1" applyBorder="1" applyAlignment="1">
      <alignment horizontal="center"/>
    </xf>
    <xf numFmtId="0" fontId="4" fillId="4" borderId="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7" xfId="0" applyFont="1" applyFill="1" applyBorder="1" applyAlignment="1">
      <alignment horizontal="left" vertical="center" wrapText="1"/>
    </xf>
    <xf numFmtId="0" fontId="8" fillId="0" borderId="23" xfId="0" applyFont="1" applyBorder="1" applyAlignment="1">
      <alignment horizontal="left"/>
    </xf>
    <xf numFmtId="0" fontId="8" fillId="0" borderId="65" xfId="0" applyFont="1" applyBorder="1" applyAlignment="1">
      <alignment horizontal="left"/>
    </xf>
    <xf numFmtId="0" fontId="8" fillId="0" borderId="31" xfId="0" applyFont="1" applyBorder="1" applyAlignment="1">
      <alignment horizontal="left"/>
    </xf>
    <xf numFmtId="4" fontId="7" fillId="0" borderId="26" xfId="0" applyNumberFormat="1" applyFont="1" applyBorder="1" applyAlignment="1">
      <alignment horizontal="center" wrapText="1"/>
    </xf>
    <xf numFmtId="4" fontId="7" fillId="0" borderId="75" xfId="0" applyNumberFormat="1" applyFont="1" applyBorder="1" applyAlignment="1">
      <alignment horizontal="center" wrapText="1"/>
    </xf>
    <xf numFmtId="0" fontId="0" fillId="0" borderId="23" xfId="0" applyBorder="1" applyAlignment="1">
      <alignment horizontal="left" vertical="center" wrapText="1" indent="1"/>
    </xf>
    <xf numFmtId="0" fontId="0" fillId="0" borderId="65" xfId="0" applyBorder="1" applyAlignment="1">
      <alignment horizontal="left" vertical="center" wrapText="1" indent="1"/>
    </xf>
    <xf numFmtId="0" fontId="0" fillId="0" borderId="31" xfId="0" applyBorder="1" applyAlignment="1">
      <alignment horizontal="left" vertical="center" wrapText="1" indent="1"/>
    </xf>
    <xf numFmtId="0" fontId="0" fillId="0" borderId="21" xfId="0" applyBorder="1" applyAlignment="1">
      <alignment horizontal="left" vertical="center" wrapText="1" indent="1"/>
    </xf>
    <xf numFmtId="0" fontId="0" fillId="0" borderId="0" xfId="0" applyAlignment="1">
      <alignment horizontal="left" vertical="center" wrapText="1" indent="1"/>
    </xf>
    <xf numFmtId="0" fontId="0" fillId="0" borderId="52" xfId="0" applyBorder="1" applyAlignment="1">
      <alignment horizontal="left" vertical="center" wrapText="1" indent="1"/>
    </xf>
    <xf numFmtId="0" fontId="0" fillId="0" borderId="1" xfId="0" applyBorder="1" applyAlignment="1">
      <alignment horizontal="left" vertical="center" wrapText="1" indent="1"/>
    </xf>
    <xf numFmtId="0" fontId="0" fillId="0" borderId="50" xfId="0" applyBorder="1" applyAlignment="1">
      <alignment horizontal="left" vertical="center" wrapText="1" indent="1"/>
    </xf>
    <xf numFmtId="0" fontId="0" fillId="0" borderId="18" xfId="0" applyBorder="1" applyAlignment="1">
      <alignment horizontal="left" vertical="center" wrapText="1" indent="1"/>
    </xf>
    <xf numFmtId="0" fontId="8" fillId="4" borderId="4"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7"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50" xfId="0" applyFont="1" applyBorder="1" applyAlignment="1">
      <alignment horizontal="left" vertical="center" wrapText="1"/>
    </xf>
    <xf numFmtId="0" fontId="2" fillId="0" borderId="18" xfId="0" applyFont="1" applyBorder="1" applyAlignment="1">
      <alignment horizontal="left" vertical="center" wrapText="1"/>
    </xf>
    <xf numFmtId="4" fontId="2" fillId="0" borderId="65" xfId="0" applyNumberFormat="1" applyFont="1" applyBorder="1" applyAlignment="1">
      <alignment horizontal="right" wrapText="1"/>
    </xf>
    <xf numFmtId="4" fontId="2" fillId="0" borderId="0" xfId="0" applyNumberFormat="1" applyFont="1" applyAlignment="1">
      <alignment horizontal="right"/>
    </xf>
    <xf numFmtId="4" fontId="2" fillId="0" borderId="0" xfId="0" applyNumberFormat="1" applyFont="1" applyAlignment="1">
      <alignment horizontal="right" wrapText="1"/>
    </xf>
    <xf numFmtId="164" fontId="0" fillId="0" borderId="80" xfId="0" applyNumberFormat="1" applyBorder="1" applyAlignment="1">
      <alignment horizontal="right"/>
    </xf>
    <xf numFmtId="0" fontId="8" fillId="0" borderId="23" xfId="0" applyFont="1" applyBorder="1" applyAlignment="1">
      <alignment horizontal="center" vertical="distributed" wrapText="1"/>
    </xf>
    <xf numFmtId="0" fontId="4" fillId="0" borderId="73" xfId="0" applyFont="1" applyBorder="1" applyAlignment="1">
      <alignment horizontal="center" vertical="distributed" wrapText="1"/>
    </xf>
    <xf numFmtId="0" fontId="7" fillId="0" borderId="42" xfId="0" applyFont="1" applyBorder="1" applyAlignment="1">
      <alignment horizontal="center" wrapText="1"/>
    </xf>
    <xf numFmtId="0" fontId="7" fillId="0" borderId="76" xfId="0" applyFont="1" applyBorder="1" applyAlignment="1">
      <alignment horizontal="center" wrapText="1"/>
    </xf>
    <xf numFmtId="0" fontId="7" fillId="0" borderId="77" xfId="0" applyFont="1" applyBorder="1" applyAlignment="1">
      <alignment horizontal="center" wrapText="1"/>
    </xf>
    <xf numFmtId="0" fontId="7" fillId="0" borderId="78" xfId="0" applyFont="1" applyBorder="1" applyAlignment="1">
      <alignment horizontal="center" wrapText="1"/>
    </xf>
    <xf numFmtId="0" fontId="4" fillId="0" borderId="70" xfId="0" applyFont="1" applyBorder="1" applyAlignment="1">
      <alignment horizontal="center" wrapText="1"/>
    </xf>
    <xf numFmtId="0" fontId="4" fillId="0" borderId="27" xfId="0" applyFont="1" applyBorder="1" applyAlignment="1">
      <alignment horizontal="center" wrapText="1"/>
    </xf>
    <xf numFmtId="4" fontId="0" fillId="0" borderId="12" xfId="0" applyNumberFormat="1" applyBorder="1" applyAlignment="1">
      <alignment horizontal="left" wrapText="1"/>
    </xf>
    <xf numFmtId="4" fontId="0" fillId="0" borderId="15" xfId="0" applyNumberFormat="1" applyBorder="1" applyAlignment="1">
      <alignment horizontal="left" wrapText="1"/>
    </xf>
    <xf numFmtId="4" fontId="0" fillId="0" borderId="7" xfId="0" applyNumberFormat="1" applyBorder="1" applyAlignment="1">
      <alignment horizontal="left" wrapText="1"/>
    </xf>
    <xf numFmtId="164" fontId="2" fillId="0" borderId="32" xfId="0" applyNumberFormat="1" applyFont="1" applyBorder="1" applyAlignment="1">
      <alignment horizontal="left" vertical="center" wrapText="1"/>
    </xf>
    <xf numFmtId="164" fontId="2" fillId="0" borderId="79" xfId="0" applyNumberFormat="1" applyFont="1" applyBorder="1" applyAlignment="1">
      <alignment horizontal="left" vertical="center" wrapText="1"/>
    </xf>
    <xf numFmtId="164" fontId="2" fillId="0" borderId="21" xfId="0" applyNumberFormat="1" applyFont="1" applyBorder="1" applyAlignment="1">
      <alignment horizontal="left" vertical="center" wrapText="1"/>
    </xf>
    <xf numFmtId="164" fontId="2" fillId="0" borderId="52" xfId="0" applyNumberFormat="1" applyFont="1" applyBorder="1" applyAlignment="1">
      <alignment horizontal="left" vertical="center" wrapText="1"/>
    </xf>
    <xf numFmtId="164" fontId="2" fillId="0" borderId="1" xfId="0" applyNumberFormat="1" applyFont="1" applyBorder="1" applyAlignment="1">
      <alignment horizontal="left" vertical="center" wrapText="1"/>
    </xf>
    <xf numFmtId="164" fontId="2" fillId="0" borderId="18" xfId="0" applyNumberFormat="1" applyFont="1" applyBorder="1" applyAlignment="1">
      <alignment horizontal="left" vertical="center" wrapText="1"/>
    </xf>
    <xf numFmtId="0" fontId="7" fillId="0" borderId="43" xfId="0" applyFont="1" applyBorder="1" applyAlignment="1">
      <alignment horizontal="center" wrapText="1"/>
    </xf>
    <xf numFmtId="0" fontId="7" fillId="0" borderId="19" xfId="0" applyFont="1" applyBorder="1" applyAlignment="1">
      <alignment horizontal="center" wrapText="1"/>
    </xf>
    <xf numFmtId="4" fontId="2" fillId="0" borderId="65" xfId="0" applyNumberFormat="1" applyFont="1" applyBorder="1" applyAlignment="1">
      <alignment horizontal="right"/>
    </xf>
    <xf numFmtId="0" fontId="7" fillId="0" borderId="80" xfId="0" applyFont="1" applyBorder="1" applyAlignment="1">
      <alignment horizontal="center" wrapText="1"/>
    </xf>
    <xf numFmtId="0" fontId="0" fillId="0" borderId="0" xfId="0" applyAlignment="1">
      <alignment horizontal="left" wrapText="1"/>
    </xf>
    <xf numFmtId="0" fontId="0" fillId="0" borderId="0" xfId="0" applyAlignment="1">
      <alignment horizontal="left"/>
    </xf>
    <xf numFmtId="0" fontId="4" fillId="0" borderId="0" xfId="0" applyFont="1" applyAlignment="1">
      <alignment horizontal="center"/>
    </xf>
    <xf numFmtId="0" fontId="34" fillId="0" borderId="0" xfId="0" applyFont="1" applyAlignment="1">
      <alignment horizontal="left" wrapText="1"/>
    </xf>
    <xf numFmtId="0" fontId="34" fillId="0" borderId="52" xfId="0" applyFont="1" applyBorder="1" applyAlignment="1">
      <alignment horizontal="left" wrapText="1"/>
    </xf>
    <xf numFmtId="0" fontId="4" fillId="0" borderId="65" xfId="0" applyFont="1" applyBorder="1" applyAlignment="1">
      <alignment horizontal="center"/>
    </xf>
    <xf numFmtId="0" fontId="8" fillId="0" borderId="0" xfId="0" applyFont="1" applyAlignment="1">
      <alignment horizontal="center"/>
    </xf>
    <xf numFmtId="0" fontId="5" fillId="0" borderId="0" xfId="0" applyFont="1" applyAlignment="1">
      <alignment horizontal="left"/>
    </xf>
    <xf numFmtId="0" fontId="0" fillId="0" borderId="0" xfId="0" applyAlignment="1">
      <alignment horizontal="center" vertical="center"/>
    </xf>
    <xf numFmtId="0" fontId="2" fillId="0" borderId="0" xfId="0" applyFont="1" applyAlignment="1">
      <alignment horizontal="left"/>
    </xf>
    <xf numFmtId="0" fontId="6" fillId="0" borderId="0" xfId="0" applyFont="1" applyAlignment="1">
      <alignment wrapText="1"/>
    </xf>
    <xf numFmtId="0" fontId="6" fillId="0" borderId="0" xfId="0" applyFont="1" applyAlignment="1">
      <alignment horizontal="left" wrapText="1" readingOrder="1"/>
    </xf>
    <xf numFmtId="0" fontId="6" fillId="0" borderId="0" xfId="2"/>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owerPivotData" Target="model/item.data"/><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connections" Target="connections.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emf"/><Relationship Id="rId4"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0</xdr:colOff>
      <xdr:row>7</xdr:row>
      <xdr:rowOff>0</xdr:rowOff>
    </xdr:to>
    <xdr:sp macro="" textlink="">
      <xdr:nvSpPr>
        <xdr:cNvPr id="3073" name="Text Box 1">
          <a:extLst>
            <a:ext uri="{FF2B5EF4-FFF2-40B4-BE49-F238E27FC236}">
              <a16:creationId xmlns:a16="http://schemas.microsoft.com/office/drawing/2014/main" id="{4B8284E4-84DD-429E-93C9-B8E972039F06}"/>
            </a:ext>
          </a:extLst>
        </xdr:cNvPr>
        <xdr:cNvSpPr txBox="1">
          <a:spLocks noChangeArrowheads="1"/>
        </xdr:cNvSpPr>
      </xdr:nvSpPr>
      <xdr:spPr bwMode="auto">
        <a:xfrm>
          <a:off x="5419725" y="2876550"/>
          <a:ext cx="0" cy="0"/>
        </a:xfrm>
        <a:prstGeom prst="rect">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Refer to Schedule 'G'.   Pay the  Deposit amount based on Cubic Yards.</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6" name="Text Box 4">
          <a:extLst>
            <a:ext uri="{FF2B5EF4-FFF2-40B4-BE49-F238E27FC236}">
              <a16:creationId xmlns:a16="http://schemas.microsoft.com/office/drawing/2014/main" id="{BFC5828E-20E7-44FC-B18D-C822D725153E}"/>
            </a:ext>
          </a:extLst>
        </xdr:cNvPr>
        <xdr:cNvSpPr txBox="1">
          <a:spLocks noChangeArrowheads="1"/>
        </xdr:cNvSpPr>
      </xdr:nvSpPr>
      <xdr:spPr bwMode="auto">
        <a:xfrm>
          <a:off x="5419725" y="9686925"/>
          <a:ext cx="0" cy="0"/>
        </a:xfrm>
        <a:prstGeom prst="rect">
          <a:avLst/>
        </a:prstGeom>
        <a:solidFill>
          <a:srgbClr val="FFFFFF"/>
        </a:solidFill>
        <a:ln w="28575">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Refer to Schedule 'G'.   Pay the  Deposit amount based on Cubic Yards.</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1</xdr:col>
      <xdr:colOff>66675</xdr:colOff>
      <xdr:row>30</xdr:row>
      <xdr:rowOff>47625</xdr:rowOff>
    </xdr:from>
    <xdr:to>
      <xdr:col>1</xdr:col>
      <xdr:colOff>2981325</xdr:colOff>
      <xdr:row>31</xdr:row>
      <xdr:rowOff>400050</xdr:rowOff>
    </xdr:to>
    <xdr:sp macro="" textlink="">
      <xdr:nvSpPr>
        <xdr:cNvPr id="3077" name="Text Box 5">
          <a:extLst>
            <a:ext uri="{FF2B5EF4-FFF2-40B4-BE49-F238E27FC236}">
              <a16:creationId xmlns:a16="http://schemas.microsoft.com/office/drawing/2014/main" id="{9519517B-E7B0-40CD-9898-B7A816CE5C1F}"/>
            </a:ext>
          </a:extLst>
        </xdr:cNvPr>
        <xdr:cNvSpPr txBox="1">
          <a:spLocks noChangeArrowheads="1"/>
        </xdr:cNvSpPr>
      </xdr:nvSpPr>
      <xdr:spPr bwMode="auto">
        <a:xfrm>
          <a:off x="152400" y="8810625"/>
          <a:ext cx="2914650" cy="619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DIRECTIONS: </a:t>
          </a:r>
          <a:r>
            <a:rPr lang="en-US" sz="1000" b="0" i="0" u="none" strike="noStrike" baseline="0">
              <a:solidFill>
                <a:srgbClr val="000000"/>
              </a:solidFill>
              <a:latin typeface="Arial"/>
              <a:cs typeface="Arial"/>
            </a:rPr>
            <a:t>    </a:t>
          </a:r>
        </a:p>
        <a:p>
          <a:pPr algn="l" rtl="0">
            <a:defRPr sz="1000"/>
          </a:pPr>
          <a:r>
            <a:rPr lang="en-US" sz="900" b="0" i="0" u="none" strike="noStrike" baseline="0">
              <a:solidFill>
                <a:srgbClr val="000000"/>
              </a:solidFill>
              <a:latin typeface="Arial"/>
              <a:cs typeface="Arial"/>
            </a:rPr>
            <a:t>Locate  Plan Type below.   </a:t>
          </a:r>
        </a:p>
        <a:p>
          <a:pPr algn="l" rtl="0">
            <a:defRPr sz="1000"/>
          </a:pPr>
          <a:r>
            <a:rPr lang="en-US" sz="900" b="0" i="0" u="none" strike="noStrike" baseline="0">
              <a:solidFill>
                <a:srgbClr val="000000"/>
              </a:solidFill>
              <a:latin typeface="Arial"/>
              <a:cs typeface="Arial"/>
            </a:rPr>
            <a:t>Follow Plan Type row across the page filling in blanks as directed- Total shown in last column</a:t>
          </a:r>
          <a:r>
            <a:rPr lang="en-US" sz="1000" b="0" i="0" u="none" strike="noStrike" baseline="0">
              <a:solidFill>
                <a:srgbClr val="000000"/>
              </a:solidFill>
              <a:latin typeface="Arial"/>
              <a:cs typeface="Arial"/>
            </a:rPr>
            <a:t>.</a:t>
          </a:r>
        </a:p>
      </xdr:txBody>
    </xdr:sp>
    <xdr:clientData/>
  </xdr:twoCellAnchor>
  <xdr:twoCellAnchor>
    <xdr:from>
      <xdr:col>1</xdr:col>
      <xdr:colOff>66675</xdr:colOff>
      <xdr:row>40</xdr:row>
      <xdr:rowOff>47625</xdr:rowOff>
    </xdr:from>
    <xdr:to>
      <xdr:col>1</xdr:col>
      <xdr:colOff>2981325</xdr:colOff>
      <xdr:row>41</xdr:row>
      <xdr:rowOff>419100</xdr:rowOff>
    </xdr:to>
    <xdr:sp macro="" textlink="">
      <xdr:nvSpPr>
        <xdr:cNvPr id="3078" name="Text Box 6">
          <a:extLst>
            <a:ext uri="{FF2B5EF4-FFF2-40B4-BE49-F238E27FC236}">
              <a16:creationId xmlns:a16="http://schemas.microsoft.com/office/drawing/2014/main" id="{A9EC87F8-6E1C-4CF2-A3E2-DF7A25E6F521}"/>
            </a:ext>
          </a:extLst>
        </xdr:cNvPr>
        <xdr:cNvSpPr txBox="1">
          <a:spLocks noChangeArrowheads="1"/>
        </xdr:cNvSpPr>
      </xdr:nvSpPr>
      <xdr:spPr bwMode="auto">
        <a:xfrm>
          <a:off x="152400" y="12725400"/>
          <a:ext cx="2914650" cy="638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sz="1000" b="1" i="0" u="none" strike="noStrike" baseline="0">
              <a:solidFill>
                <a:srgbClr val="000000"/>
              </a:solidFill>
              <a:latin typeface="Arial"/>
              <a:cs typeface="Arial"/>
            </a:rPr>
            <a:t>DIRECTIONS: </a:t>
          </a:r>
          <a:r>
            <a:rPr lang="en-US" sz="1000" b="0" i="0" u="none" strike="noStrike" baseline="0">
              <a:solidFill>
                <a:srgbClr val="000000"/>
              </a:solidFill>
              <a:latin typeface="Arial"/>
              <a:cs typeface="Arial"/>
            </a:rPr>
            <a:t>    </a:t>
          </a:r>
        </a:p>
        <a:p>
          <a:pPr algn="l" rtl="0">
            <a:defRPr sz="1000"/>
          </a:pPr>
          <a:r>
            <a:rPr lang="en-US" sz="900" b="0" i="0" u="none" strike="noStrike" baseline="0">
              <a:solidFill>
                <a:srgbClr val="000000"/>
              </a:solidFill>
              <a:latin typeface="Arial"/>
              <a:cs typeface="Arial"/>
            </a:rPr>
            <a:t>Locate  Plan Type below.   </a:t>
          </a:r>
        </a:p>
        <a:p>
          <a:pPr algn="l" rtl="0">
            <a:defRPr sz="1000"/>
          </a:pPr>
          <a:r>
            <a:rPr lang="en-US" sz="900" b="0" i="0" u="none" strike="noStrike" baseline="0">
              <a:solidFill>
                <a:srgbClr val="000000"/>
              </a:solidFill>
              <a:latin typeface="Arial"/>
              <a:cs typeface="Arial"/>
            </a:rPr>
            <a:t>Follow Plan Type row across the page filling in blanks as directed- Total shown in last column</a:t>
          </a:r>
          <a:r>
            <a:rPr lang="en-US" sz="1000" b="0" i="0" u="none" strike="noStrike" baseline="0">
              <a:solidFill>
                <a:srgbClr val="000000"/>
              </a:solidFill>
              <a:latin typeface="Arial"/>
              <a:cs typeface="Arial"/>
            </a:rPr>
            <a:t>.</a:t>
          </a:r>
        </a:p>
      </xdr:txBody>
    </xdr:sp>
    <xdr:clientData/>
  </xdr:twoCellAnchor>
  <xdr:twoCellAnchor editAs="oneCell">
    <xdr:from>
      <xdr:col>1</xdr:col>
      <xdr:colOff>9525</xdr:colOff>
      <xdr:row>0</xdr:row>
      <xdr:rowOff>0</xdr:rowOff>
    </xdr:from>
    <xdr:to>
      <xdr:col>1</xdr:col>
      <xdr:colOff>1514475</xdr:colOff>
      <xdr:row>1</xdr:row>
      <xdr:rowOff>647700</xdr:rowOff>
    </xdr:to>
    <xdr:pic>
      <xdr:nvPicPr>
        <xdr:cNvPr id="3243" name="Picture 11" descr="FinalLogosBW">
          <a:extLst>
            <a:ext uri="{FF2B5EF4-FFF2-40B4-BE49-F238E27FC236}">
              <a16:creationId xmlns:a16="http://schemas.microsoft.com/office/drawing/2014/main" id="{070EAC31-DE01-4853-887C-F19326299C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8" t="18327" b="25099"/>
        <a:stretch>
          <a:fillRect/>
        </a:stretch>
      </xdr:blipFill>
      <xdr:spPr bwMode="auto">
        <a:xfrm>
          <a:off x="95250" y="0"/>
          <a:ext cx="15049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438150</xdr:colOff>
      <xdr:row>3</xdr:row>
      <xdr:rowOff>28575</xdr:rowOff>
    </xdr:to>
    <xdr:pic>
      <xdr:nvPicPr>
        <xdr:cNvPr id="2" name="Picture 1" descr="dreamextreme_logo">
          <a:extLst>
            <a:ext uri="{FF2B5EF4-FFF2-40B4-BE49-F238E27FC236}">
              <a16:creationId xmlns:a16="http://schemas.microsoft.com/office/drawing/2014/main" id="{68158E39-A912-4168-B42B-E880C28EE8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2954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400050</xdr:colOff>
      <xdr:row>4</xdr:row>
      <xdr:rowOff>628650</xdr:rowOff>
    </xdr:from>
    <xdr:to>
      <xdr:col>12</xdr:col>
      <xdr:colOff>181710</xdr:colOff>
      <xdr:row>5</xdr:row>
      <xdr:rowOff>9685</xdr:rowOff>
    </xdr:to>
    <xdr:pic>
      <xdr:nvPicPr>
        <xdr:cNvPr id="2" name="Picture 1">
          <a:extLst>
            <a:ext uri="{FF2B5EF4-FFF2-40B4-BE49-F238E27FC236}">
              <a16:creationId xmlns:a16="http://schemas.microsoft.com/office/drawing/2014/main" id="{1E7A7B3D-BB61-4F43-9339-93CC9DB6C32C}"/>
            </a:ext>
          </a:extLst>
        </xdr:cNvPr>
        <xdr:cNvPicPr>
          <a:picLocks noChangeAspect="1"/>
        </xdr:cNvPicPr>
      </xdr:nvPicPr>
      <xdr:blipFill>
        <a:blip xmlns:r="http://schemas.openxmlformats.org/officeDocument/2006/relationships" r:embed="rId1"/>
        <a:stretch>
          <a:fillRect/>
        </a:stretch>
      </xdr:blipFill>
      <xdr:spPr>
        <a:xfrm>
          <a:off x="7077075" y="1571625"/>
          <a:ext cx="5268060" cy="11431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325342</xdr:colOff>
      <xdr:row>44</xdr:row>
      <xdr:rowOff>58152</xdr:rowOff>
    </xdr:to>
    <xdr:pic>
      <xdr:nvPicPr>
        <xdr:cNvPr id="2" name="Picture 1">
          <a:extLst>
            <a:ext uri="{FF2B5EF4-FFF2-40B4-BE49-F238E27FC236}">
              <a16:creationId xmlns:a16="http://schemas.microsoft.com/office/drawing/2014/main" id="{241B2005-D361-4C7A-9316-29F627F2BDC2}"/>
            </a:ext>
          </a:extLst>
        </xdr:cNvPr>
        <xdr:cNvPicPr>
          <a:picLocks noChangeAspect="1"/>
        </xdr:cNvPicPr>
      </xdr:nvPicPr>
      <xdr:blipFill>
        <a:blip xmlns:r="http://schemas.openxmlformats.org/officeDocument/2006/relationships" r:embed="rId1"/>
        <a:stretch>
          <a:fillRect/>
        </a:stretch>
      </xdr:blipFill>
      <xdr:spPr>
        <a:xfrm>
          <a:off x="0" y="0"/>
          <a:ext cx="10688542" cy="71828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7896225</xdr:colOff>
      <xdr:row>2</xdr:row>
      <xdr:rowOff>0</xdr:rowOff>
    </xdr:from>
    <xdr:to>
      <xdr:col>9</xdr:col>
      <xdr:colOff>276946</xdr:colOff>
      <xdr:row>6</xdr:row>
      <xdr:rowOff>133547</xdr:rowOff>
    </xdr:to>
    <xdr:pic>
      <xdr:nvPicPr>
        <xdr:cNvPr id="2" name="Picture 1">
          <a:extLst>
            <a:ext uri="{FF2B5EF4-FFF2-40B4-BE49-F238E27FC236}">
              <a16:creationId xmlns:a16="http://schemas.microsoft.com/office/drawing/2014/main" id="{88A27264-454E-4D03-BA84-C0A09CBC49B8}"/>
            </a:ext>
          </a:extLst>
        </xdr:cNvPr>
        <xdr:cNvPicPr>
          <a:picLocks noChangeAspect="1"/>
        </xdr:cNvPicPr>
      </xdr:nvPicPr>
      <xdr:blipFill>
        <a:blip xmlns:r="http://schemas.openxmlformats.org/officeDocument/2006/relationships" r:embed="rId1"/>
        <a:stretch>
          <a:fillRect/>
        </a:stretch>
      </xdr:blipFill>
      <xdr:spPr>
        <a:xfrm>
          <a:off x="7896225" y="352425"/>
          <a:ext cx="5163271" cy="14098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59</xdr:row>
      <xdr:rowOff>104775</xdr:rowOff>
    </xdr:from>
    <xdr:to>
      <xdr:col>2</xdr:col>
      <xdr:colOff>1495425</xdr:colOff>
      <xdr:row>74</xdr:row>
      <xdr:rowOff>38100</xdr:rowOff>
    </xdr:to>
    <xdr:pic>
      <xdr:nvPicPr>
        <xdr:cNvPr id="5153" name="Picture 1">
          <a:extLst>
            <a:ext uri="{FF2B5EF4-FFF2-40B4-BE49-F238E27FC236}">
              <a16:creationId xmlns:a16="http://schemas.microsoft.com/office/drawing/2014/main" id="{6C388FA3-BDE0-4E07-8D57-3360120A3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829800"/>
          <a:ext cx="449580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1</xdr:row>
      <xdr:rowOff>57150</xdr:rowOff>
    </xdr:from>
    <xdr:to>
      <xdr:col>8</xdr:col>
      <xdr:colOff>267766</xdr:colOff>
      <xdr:row>14</xdr:row>
      <xdr:rowOff>124129</xdr:rowOff>
    </xdr:to>
    <xdr:pic>
      <xdr:nvPicPr>
        <xdr:cNvPr id="2" name="Picture 1">
          <a:extLst>
            <a:ext uri="{FF2B5EF4-FFF2-40B4-BE49-F238E27FC236}">
              <a16:creationId xmlns:a16="http://schemas.microsoft.com/office/drawing/2014/main" id="{EF2A07FA-F250-4808-8668-327066091829}"/>
            </a:ext>
          </a:extLst>
        </xdr:cNvPr>
        <xdr:cNvPicPr>
          <a:picLocks noChangeAspect="1"/>
        </xdr:cNvPicPr>
      </xdr:nvPicPr>
      <xdr:blipFill>
        <a:blip xmlns:r="http://schemas.openxmlformats.org/officeDocument/2006/relationships" r:embed="rId2"/>
        <a:stretch>
          <a:fillRect/>
        </a:stretch>
      </xdr:blipFill>
      <xdr:spPr>
        <a:xfrm>
          <a:off x="323850" y="219075"/>
          <a:ext cx="7640116" cy="2181529"/>
        </a:xfrm>
        <a:prstGeom prst="rect">
          <a:avLst/>
        </a:prstGeom>
      </xdr:spPr>
    </xdr:pic>
    <xdr:clientData/>
  </xdr:twoCellAnchor>
  <xdr:twoCellAnchor editAs="oneCell">
    <xdr:from>
      <xdr:col>0</xdr:col>
      <xdr:colOff>104775</xdr:colOff>
      <xdr:row>16</xdr:row>
      <xdr:rowOff>114300</xdr:rowOff>
    </xdr:from>
    <xdr:to>
      <xdr:col>19</xdr:col>
      <xdr:colOff>173469</xdr:colOff>
      <xdr:row>20</xdr:row>
      <xdr:rowOff>133444</xdr:rowOff>
    </xdr:to>
    <xdr:pic>
      <xdr:nvPicPr>
        <xdr:cNvPr id="3" name="Picture 2">
          <a:extLst>
            <a:ext uri="{FF2B5EF4-FFF2-40B4-BE49-F238E27FC236}">
              <a16:creationId xmlns:a16="http://schemas.microsoft.com/office/drawing/2014/main" id="{FD153D84-4747-4DF1-9468-F0F2AB458E5E}"/>
            </a:ext>
          </a:extLst>
        </xdr:cNvPr>
        <xdr:cNvPicPr>
          <a:picLocks noChangeAspect="1"/>
        </xdr:cNvPicPr>
      </xdr:nvPicPr>
      <xdr:blipFill>
        <a:blip xmlns:r="http://schemas.openxmlformats.org/officeDocument/2006/relationships" r:embed="rId3"/>
        <a:stretch>
          <a:fillRect/>
        </a:stretch>
      </xdr:blipFill>
      <xdr:spPr>
        <a:xfrm>
          <a:off x="104775" y="2714625"/>
          <a:ext cx="14470494" cy="676369"/>
        </a:xfrm>
        <a:prstGeom prst="rect">
          <a:avLst/>
        </a:prstGeom>
      </xdr:spPr>
    </xdr:pic>
    <xdr:clientData/>
  </xdr:twoCellAnchor>
  <xdr:twoCellAnchor editAs="oneCell">
    <xdr:from>
      <xdr:col>0</xdr:col>
      <xdr:colOff>57150</xdr:colOff>
      <xdr:row>20</xdr:row>
      <xdr:rowOff>114300</xdr:rowOff>
    </xdr:from>
    <xdr:to>
      <xdr:col>19</xdr:col>
      <xdr:colOff>402108</xdr:colOff>
      <xdr:row>32</xdr:row>
      <xdr:rowOff>9802</xdr:rowOff>
    </xdr:to>
    <xdr:pic>
      <xdr:nvPicPr>
        <xdr:cNvPr id="4" name="Picture 3">
          <a:extLst>
            <a:ext uri="{FF2B5EF4-FFF2-40B4-BE49-F238E27FC236}">
              <a16:creationId xmlns:a16="http://schemas.microsoft.com/office/drawing/2014/main" id="{967B9109-8489-4C56-A650-BE17DA3CB71F}"/>
            </a:ext>
          </a:extLst>
        </xdr:cNvPr>
        <xdr:cNvPicPr>
          <a:picLocks noChangeAspect="1"/>
        </xdr:cNvPicPr>
      </xdr:nvPicPr>
      <xdr:blipFill>
        <a:blip xmlns:r="http://schemas.openxmlformats.org/officeDocument/2006/relationships" r:embed="rId4"/>
        <a:stretch>
          <a:fillRect/>
        </a:stretch>
      </xdr:blipFill>
      <xdr:spPr>
        <a:xfrm>
          <a:off x="57150" y="3371850"/>
          <a:ext cx="14746758" cy="19814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20</xdr:col>
      <xdr:colOff>446</xdr:colOff>
      <xdr:row>56</xdr:row>
      <xdr:rowOff>120317</xdr:rowOff>
    </xdr:to>
    <xdr:pic>
      <xdr:nvPicPr>
        <xdr:cNvPr id="2" name="Picture 1">
          <a:extLst>
            <a:ext uri="{FF2B5EF4-FFF2-40B4-BE49-F238E27FC236}">
              <a16:creationId xmlns:a16="http://schemas.microsoft.com/office/drawing/2014/main" id="{93684F1E-37C8-4321-BECD-67C62EC5CE29}"/>
            </a:ext>
          </a:extLst>
        </xdr:cNvPr>
        <xdr:cNvPicPr>
          <a:picLocks noChangeAspect="1"/>
        </xdr:cNvPicPr>
      </xdr:nvPicPr>
      <xdr:blipFill>
        <a:blip xmlns:r="http://schemas.openxmlformats.org/officeDocument/2006/relationships" r:embed="rId1"/>
        <a:stretch>
          <a:fillRect/>
        </a:stretch>
      </xdr:blipFill>
      <xdr:spPr>
        <a:xfrm>
          <a:off x="0" y="1"/>
          <a:ext cx="12232551" cy="90738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142875</xdr:colOff>
      <xdr:row>2</xdr:row>
      <xdr:rowOff>133350</xdr:rowOff>
    </xdr:from>
    <xdr:to>
      <xdr:col>27</xdr:col>
      <xdr:colOff>601415</xdr:colOff>
      <xdr:row>19</xdr:row>
      <xdr:rowOff>114682</xdr:rowOff>
    </xdr:to>
    <xdr:pic>
      <xdr:nvPicPr>
        <xdr:cNvPr id="3" name="Picture 2">
          <a:extLst>
            <a:ext uri="{FF2B5EF4-FFF2-40B4-BE49-F238E27FC236}">
              <a16:creationId xmlns:a16="http://schemas.microsoft.com/office/drawing/2014/main" id="{8DE995E1-7261-42CA-B540-F5E2EAFF0043}"/>
            </a:ext>
          </a:extLst>
        </xdr:cNvPr>
        <xdr:cNvPicPr>
          <a:picLocks noChangeAspect="1"/>
        </xdr:cNvPicPr>
      </xdr:nvPicPr>
      <xdr:blipFill>
        <a:blip xmlns:r="http://schemas.openxmlformats.org/officeDocument/2006/relationships" r:embed="rId1"/>
        <a:stretch>
          <a:fillRect/>
        </a:stretch>
      </xdr:blipFill>
      <xdr:spPr>
        <a:xfrm>
          <a:off x="23898225" y="457200"/>
          <a:ext cx="9602540" cy="2734057"/>
        </a:xfrm>
        <a:prstGeom prst="rect">
          <a:avLst/>
        </a:prstGeom>
      </xdr:spPr>
    </xdr:pic>
    <xdr:clientData/>
  </xdr:twoCellAnchor>
  <xdr:twoCellAnchor editAs="oneCell">
    <xdr:from>
      <xdr:col>2</xdr:col>
      <xdr:colOff>533400</xdr:colOff>
      <xdr:row>0</xdr:row>
      <xdr:rowOff>0</xdr:rowOff>
    </xdr:from>
    <xdr:to>
      <xdr:col>10</xdr:col>
      <xdr:colOff>266700</xdr:colOff>
      <xdr:row>22</xdr:row>
      <xdr:rowOff>146219</xdr:rowOff>
    </xdr:to>
    <xdr:pic>
      <xdr:nvPicPr>
        <xdr:cNvPr id="2" name="Picture 1">
          <a:extLst>
            <a:ext uri="{FF2B5EF4-FFF2-40B4-BE49-F238E27FC236}">
              <a16:creationId xmlns:a16="http://schemas.microsoft.com/office/drawing/2014/main" id="{BFA32BDE-6338-4379-8BF0-65C66890C5E8}"/>
            </a:ext>
          </a:extLst>
        </xdr:cNvPr>
        <xdr:cNvPicPr>
          <a:picLocks noChangeAspect="1"/>
        </xdr:cNvPicPr>
      </xdr:nvPicPr>
      <xdr:blipFill>
        <a:blip xmlns:r="http://schemas.openxmlformats.org/officeDocument/2006/relationships" r:embed="rId2"/>
        <a:stretch>
          <a:fillRect/>
        </a:stretch>
      </xdr:blipFill>
      <xdr:spPr>
        <a:xfrm>
          <a:off x="18192750" y="0"/>
          <a:ext cx="5124450" cy="37085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rchca.us/185/Stephens-Kangaroo-Rat-Mitigation-Fe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gisopendata-countyofriverside.opendata.arcgis.com/datasets/9735ca2c063645ff80ae3d7240b6d8c8_400/explore?location=33.765324%2C-117.168548%2C11.00"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rcog.us/DocumentCenter/View/9008/TUMF-Collection-Policy" TargetMode="External"/><Relationship Id="rId1" Type="http://schemas.openxmlformats.org/officeDocument/2006/relationships/hyperlink" Target="https://westernriversidecogca.portal.opengov.com/"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B1:K87"/>
  <sheetViews>
    <sheetView tabSelected="1" zoomScale="75" zoomScaleNormal="75" zoomScaleSheetLayoutView="75" workbookViewId="0">
      <selection activeCell="R33" sqref="R33"/>
    </sheetView>
  </sheetViews>
  <sheetFormatPr defaultRowHeight="12.75" x14ac:dyDescent="0.2"/>
  <cols>
    <col min="1" max="1" width="1.28515625" customWidth="1"/>
    <col min="2" max="2" width="45.28515625" style="1" customWidth="1"/>
    <col min="3" max="3" width="8.28515625" style="8" customWidth="1"/>
    <col min="4" max="4" width="11.42578125" style="1" bestFit="1" customWidth="1"/>
    <col min="5" max="5" width="15" style="1" customWidth="1"/>
    <col min="6" max="6" width="18" style="3" customWidth="1"/>
    <col min="7" max="7" width="1" customWidth="1"/>
    <col min="8" max="8" width="8.28515625" customWidth="1"/>
    <col min="9" max="9" width="15.42578125" customWidth="1"/>
    <col min="10" max="10" width="16.140625" customWidth="1"/>
    <col min="11" max="11" width="20.7109375" customWidth="1"/>
  </cols>
  <sheetData>
    <row r="1" spans="2:11" ht="1.5" customHeight="1" thickBot="1" x14ac:dyDescent="0.25"/>
    <row r="2" spans="2:11" ht="51.75" customHeight="1" x14ac:dyDescent="0.3">
      <c r="B2" s="270" t="s">
        <v>0</v>
      </c>
      <c r="C2" s="271"/>
      <c r="D2" s="271"/>
      <c r="E2" s="271"/>
      <c r="F2" s="272"/>
      <c r="H2" s="262" t="s">
        <v>161</v>
      </c>
      <c r="I2" s="263"/>
      <c r="J2" s="263"/>
      <c r="K2" s="264"/>
    </row>
    <row r="3" spans="2:11" ht="30" customHeight="1" thickBot="1" x14ac:dyDescent="0.4">
      <c r="B3" s="251" t="s">
        <v>1</v>
      </c>
      <c r="C3" s="252"/>
      <c r="D3" s="252"/>
      <c r="E3" s="252"/>
      <c r="F3" s="253"/>
      <c r="H3" s="265"/>
      <c r="I3" s="266"/>
      <c r="J3" s="266"/>
      <c r="K3" s="267"/>
    </row>
    <row r="4" spans="2:11" ht="76.5" customHeight="1" thickBot="1" x14ac:dyDescent="0.4">
      <c r="B4" s="279" t="s">
        <v>2</v>
      </c>
      <c r="C4" s="280"/>
      <c r="D4" s="280"/>
      <c r="E4" s="280"/>
      <c r="F4" s="281"/>
      <c r="H4" s="282" t="s">
        <v>3</v>
      </c>
      <c r="I4" s="283"/>
      <c r="J4" s="283"/>
      <c r="K4" s="284"/>
    </row>
    <row r="5" spans="2:11" ht="22.5" customHeight="1" thickBot="1" x14ac:dyDescent="0.3">
      <c r="B5" s="254" t="s">
        <v>4</v>
      </c>
      <c r="C5" s="249" t="s">
        <v>5</v>
      </c>
      <c r="D5" s="249" t="s">
        <v>6</v>
      </c>
      <c r="E5" s="258" t="s">
        <v>7</v>
      </c>
      <c r="F5" s="199" t="s">
        <v>8</v>
      </c>
      <c r="H5" s="195" t="s">
        <v>9</v>
      </c>
      <c r="I5" s="196"/>
      <c r="J5" s="196"/>
      <c r="K5" s="197"/>
    </row>
    <row r="6" spans="2:11" s="3" customFormat="1" ht="21" customHeight="1" x14ac:dyDescent="0.2">
      <c r="B6" s="255"/>
      <c r="C6" s="257"/>
      <c r="D6" s="257"/>
      <c r="E6" s="259"/>
      <c r="F6" s="261"/>
      <c r="H6" s="273" t="s">
        <v>5</v>
      </c>
      <c r="I6" s="275" t="s">
        <v>10</v>
      </c>
      <c r="J6" s="277" t="s">
        <v>11</v>
      </c>
      <c r="K6" s="199" t="s">
        <v>12</v>
      </c>
    </row>
    <row r="7" spans="2:11" s="10" customFormat="1" ht="43.5" customHeight="1" thickBot="1" x14ac:dyDescent="0.25">
      <c r="B7" s="256"/>
      <c r="C7" s="250"/>
      <c r="D7" s="250"/>
      <c r="E7" s="260"/>
      <c r="F7" s="248"/>
      <c r="G7" s="9"/>
      <c r="H7" s="274"/>
      <c r="I7" s="276"/>
      <c r="J7" s="278"/>
      <c r="K7" s="200"/>
    </row>
    <row r="8" spans="2:11" ht="18" customHeight="1" thickTop="1" thickBot="1" x14ac:dyDescent="0.25">
      <c r="B8" s="11" t="s">
        <v>13</v>
      </c>
      <c r="C8" s="12">
        <v>200</v>
      </c>
      <c r="D8" s="13">
        <v>220</v>
      </c>
      <c r="E8" s="152"/>
      <c r="F8" s="101">
        <f>IF(SUM(E9:E13)&gt;0,0,IF(E8&gt;0,D8*91%+C8,0))</f>
        <v>0</v>
      </c>
      <c r="G8" s="4"/>
      <c r="H8" s="85">
        <v>200</v>
      </c>
      <c r="I8" s="88">
        <f>IF(SUM(E9:E13)&gt;0,0,IF(E8&gt;0,+C8+D8,0))</f>
        <v>0</v>
      </c>
      <c r="J8" s="90">
        <f>IF(SUM(E8:E13)=0,0,IF(SUM(E9:E13)&gt;0,0,IF(E8&gt;0,500)))</f>
        <v>0</v>
      </c>
      <c r="K8" s="95" t="s">
        <v>14</v>
      </c>
    </row>
    <row r="9" spans="2:11" ht="17.25" customHeight="1" thickBot="1" x14ac:dyDescent="0.25">
      <c r="B9" s="97" t="s">
        <v>15</v>
      </c>
      <c r="C9" s="15">
        <v>200</v>
      </c>
      <c r="D9" s="16">
        <v>220</v>
      </c>
      <c r="E9" s="153"/>
      <c r="F9" s="101"/>
      <c r="H9" s="86">
        <v>200</v>
      </c>
      <c r="I9" s="89">
        <f>IF(SUM(E10:E13)&gt;0,0,IF(E9-100&gt;=1,(((E9-100)/100)*50+D9)+C9,0))</f>
        <v>0</v>
      </c>
      <c r="J9" s="92">
        <f>IF(E9=0,0,IF(SUM(E10:E13)&gt;0,0,IF(SUM(E9:E13)&lt;=2000,500,IF(SUM(E9:E13)&gt;=2001,0))))</f>
        <v>0</v>
      </c>
      <c r="K9" s="96" t="s">
        <v>14</v>
      </c>
    </row>
    <row r="10" spans="2:11" ht="18" customHeight="1" thickBot="1" x14ac:dyDescent="0.25">
      <c r="B10" s="17" t="s">
        <v>16</v>
      </c>
      <c r="C10" s="18">
        <v>200</v>
      </c>
      <c r="D10" s="19">
        <v>670</v>
      </c>
      <c r="E10" s="154"/>
      <c r="F10" s="101">
        <f>IF(SUM(E11:E13)+E9&gt;0,0,IF(E10-1000&gt;=1,(((E10-1000)/1000)*50+D10)*91%+C10,0))</f>
        <v>0</v>
      </c>
      <c r="H10" s="85">
        <v>200</v>
      </c>
      <c r="I10" s="89">
        <f>IF(SUM(E11:E13)+E9&gt;0,0,IF(E10-1000&gt;=1,(((E10-1000)/1000)*50+D10)+C10,0))</f>
        <v>0</v>
      </c>
      <c r="J10" s="91">
        <f>IF(E10=0,0,IF(E10&lt;=2000,500,IF(E10&gt;=2001,(((E10-1000)*2)+1000)*0.2)-K10))</f>
        <v>0</v>
      </c>
      <c r="K10" s="93">
        <f>IF(E10=0,0,IF(E10&lt;=3000,0,IF(E10&gt;=3001,(((E10-1000)*2)+1000)*0.2*80%)))</f>
        <v>0</v>
      </c>
    </row>
    <row r="11" spans="2:11" ht="18" customHeight="1" thickBot="1" x14ac:dyDescent="0.25">
      <c r="B11" s="14" t="s">
        <v>17</v>
      </c>
      <c r="C11" s="15">
        <v>200</v>
      </c>
      <c r="D11" s="16">
        <v>1120</v>
      </c>
      <c r="E11" s="153"/>
      <c r="F11" s="101">
        <f>IF(SUM(E12:E13)+SUM(E9:E10)&gt;0,0,IF(E11-10000&gt;=1,(((((E11-10000)/10000)*190)+D11)*91%)+C11,0))</f>
        <v>0</v>
      </c>
      <c r="H11" s="86">
        <v>200</v>
      </c>
      <c r="I11" s="89">
        <f>IF(SUM(E12:E13)+SUM(E9:E10)&gt;0,0,IF(E11-10000&gt;=1,(((E11-10000)/10000)*190+(D11+C11)),0))</f>
        <v>0</v>
      </c>
      <c r="J11" s="159">
        <f>IF(E11=0,0,IF(E11&gt;0,((((E11-1000)*2)+1000)*20%)))</f>
        <v>0</v>
      </c>
      <c r="K11" s="160">
        <f>IF(SUM(E8:E10)+SUM(E12:E13)&gt;0,0,IF(E11=0,0,IF(E11&gt;0,((((E11-1000)*2)+1000)*80%))))</f>
        <v>0</v>
      </c>
    </row>
    <row r="12" spans="2:11" ht="18" customHeight="1" thickBot="1" x14ac:dyDescent="0.25">
      <c r="B12" s="17" t="s">
        <v>18</v>
      </c>
      <c r="C12" s="18">
        <v>200</v>
      </c>
      <c r="D12" s="19">
        <v>2830</v>
      </c>
      <c r="E12" s="154"/>
      <c r="F12" s="101">
        <f>IF(SUM(E9:E11)+E13&gt;0,0,IF(E12-100000&gt;=1,(((((E12-100000)/10000)*110)+D12)*91%+C12),0))</f>
        <v>0</v>
      </c>
      <c r="H12" s="85">
        <v>200</v>
      </c>
      <c r="I12" s="89">
        <f>IF(SUM(E9:E11)+E13&gt;0,0,IF(E12-100000&gt;=1,(((((E12-100000)/10000)*110)+D12)+C12),0))</f>
        <v>0</v>
      </c>
      <c r="J12" s="91">
        <f>IF(E12=0,0,IF(E12&gt;0,((((E12-1000)*2)+1000)*0.2)*20%))</f>
        <v>0</v>
      </c>
      <c r="K12" s="93">
        <f>IF(SUM(F8:F11)+F13&gt;0,0,IF(F12=0,0,IF(F12&gt;0,((((E12-1000)*2)+1000)*0.2)*80%)))</f>
        <v>0</v>
      </c>
    </row>
    <row r="13" spans="2:11" ht="28.5" customHeight="1" thickBot="1" x14ac:dyDescent="0.25">
      <c r="B13" s="142" t="s">
        <v>19</v>
      </c>
      <c r="C13" s="143">
        <v>200</v>
      </c>
      <c r="D13" s="144">
        <v>6130</v>
      </c>
      <c r="E13" s="155"/>
      <c r="F13" s="145">
        <f>IF(SUM(E9:E12)&gt;0,0,IF(E13-400000&gt;=1,((((((E13-400000)/100000)*110)+D13)*91%)+C13),0))</f>
        <v>0</v>
      </c>
      <c r="H13" s="86">
        <v>200</v>
      </c>
      <c r="I13" s="89">
        <f>IF(SUM(E9:E12)&gt;0,0,IF(E13-400000&gt;=1,((((E13-400000)/100000)*110)+D13+C13),0))</f>
        <v>0</v>
      </c>
      <c r="J13" s="92">
        <f>IF(E13=0,0,IF(E13&lt;400001,((((E13-1000)*2)+1000)*0.2)*20%,IF(E13&gt;=400001,(((E13-1000)*2)+1000)*0.2*15%)))</f>
        <v>0</v>
      </c>
      <c r="K13" s="94">
        <f>IF(SUM(E8:E12)&gt;0,0,IF(E13=0,0,IF(E13&lt;400001,((((E13-1000)*2)+1000)*0.2)*20%,IF(E13&gt;=400001,(((E13-1000)*2)+1000)*0.2*85%))))</f>
        <v>0</v>
      </c>
    </row>
    <row r="14" spans="2:11" ht="30" customHeight="1" thickTop="1" thickBot="1" x14ac:dyDescent="0.25">
      <c r="B14" s="137" t="s">
        <v>20</v>
      </c>
      <c r="C14" s="104" t="s">
        <v>21</v>
      </c>
      <c r="D14" s="6" t="s">
        <v>22</v>
      </c>
      <c r="E14" s="140" t="s">
        <v>23</v>
      </c>
      <c r="F14" s="141"/>
      <c r="H14" s="208" t="s">
        <v>24</v>
      </c>
      <c r="I14" s="209"/>
      <c r="J14" s="212">
        <f>IF(SUM(E8:E13)=0,0,IF(SUM(E8:E12)&gt;0,0,IF(E13&lt;1000001,0,IF(E13&gt;=1000001,(((E13-1000)*2)+1000)*0.2*10%))))</f>
        <v>0</v>
      </c>
      <c r="K14" s="268">
        <f>IF(SUM(E8:E13)=0,0,IF(SUM(E8:E12)&gt;0,0,IF(E13&lt;1000001,0,IF(E13&gt;=1000001,(((E13-1000)*2)+1000)*0.2*90%))))</f>
        <v>0</v>
      </c>
    </row>
    <row r="15" spans="2:11" ht="21" customHeight="1" thickBot="1" x14ac:dyDescent="0.25">
      <c r="B15" s="20" t="s">
        <v>25</v>
      </c>
      <c r="C15" s="12">
        <v>200</v>
      </c>
      <c r="D15" s="103">
        <v>450</v>
      </c>
      <c r="E15" s="102"/>
      <c r="F15" s="101">
        <f>IF(E15=0,0,(E15*D15)+C15)</f>
        <v>0</v>
      </c>
      <c r="G15" s="4"/>
      <c r="H15" s="210"/>
      <c r="I15" s="211"/>
      <c r="J15" s="213"/>
      <c r="K15" s="269"/>
    </row>
    <row r="16" spans="2:11" ht="12.75" customHeight="1" thickBot="1" x14ac:dyDescent="0.25">
      <c r="B16" s="218"/>
      <c r="C16" s="219"/>
      <c r="D16" s="219"/>
      <c r="E16" s="219"/>
      <c r="F16" s="219"/>
      <c r="G16" s="219"/>
      <c r="H16" s="219"/>
      <c r="I16" s="219"/>
      <c r="J16" s="219"/>
      <c r="K16" s="220"/>
    </row>
    <row r="17" spans="2:11" ht="22.5" customHeight="1" thickBot="1" x14ac:dyDescent="0.3">
      <c r="B17" s="216" t="s">
        <v>26</v>
      </c>
      <c r="C17" s="138"/>
      <c r="D17" s="138"/>
      <c r="E17" s="138"/>
      <c r="F17" s="139"/>
      <c r="H17" s="195" t="s">
        <v>27</v>
      </c>
      <c r="I17" s="196"/>
      <c r="J17" s="196"/>
      <c r="K17" s="197"/>
    </row>
    <row r="18" spans="2:11" ht="63.75" customHeight="1" thickBot="1" x14ac:dyDescent="0.25">
      <c r="B18" s="217"/>
      <c r="C18" s="21" t="s">
        <v>5</v>
      </c>
      <c r="D18" s="21" t="s">
        <v>28</v>
      </c>
      <c r="E18" s="21" t="s">
        <v>29</v>
      </c>
      <c r="F18" s="111" t="s">
        <v>30</v>
      </c>
      <c r="H18" s="82" t="s">
        <v>5</v>
      </c>
      <c r="I18" s="22" t="s">
        <v>31</v>
      </c>
      <c r="J18" s="21" t="s">
        <v>32</v>
      </c>
      <c r="K18" s="23" t="s">
        <v>33</v>
      </c>
    </row>
    <row r="19" spans="2:11" ht="18" customHeight="1" x14ac:dyDescent="0.2">
      <c r="B19" s="24" t="s">
        <v>34</v>
      </c>
      <c r="C19" s="12">
        <v>200</v>
      </c>
      <c r="D19" s="25"/>
      <c r="E19" s="149">
        <v>10000</v>
      </c>
      <c r="F19" s="27">
        <f>IF(E19=0,0,IF(E19&gt;=1,(C19+(D19*0)+(E19*4.5%)),0))</f>
        <v>650</v>
      </c>
      <c r="H19" s="112">
        <v>100</v>
      </c>
      <c r="I19" s="28">
        <f>IF(E19=0,0,IF(E19&gt;=1,(100+(E19*6.5%)),0))</f>
        <v>750</v>
      </c>
      <c r="J19" s="29">
        <f>E19</f>
        <v>10000</v>
      </c>
      <c r="K19" s="221" t="s">
        <v>35</v>
      </c>
    </row>
    <row r="20" spans="2:11" ht="18" customHeight="1" thickBot="1" x14ac:dyDescent="0.25">
      <c r="B20" s="30" t="s">
        <v>36</v>
      </c>
      <c r="C20" s="15">
        <v>200</v>
      </c>
      <c r="D20" s="31"/>
      <c r="E20" s="150"/>
      <c r="F20" s="27">
        <f>IF(SUM(E21:E23)+E19&gt;0,0,IF(E20&gt;=50000,(C20+(D20*0)+(E20*4%)),0))</f>
        <v>0</v>
      </c>
      <c r="H20" s="113">
        <v>100</v>
      </c>
      <c r="I20" s="33">
        <f>IF(SUM(E21:E23)+E19&gt;0,0,IF(E20&gt;=50000,(100+(E20*5.5%)),0))</f>
        <v>0</v>
      </c>
      <c r="J20" s="34">
        <f>E20</f>
        <v>0</v>
      </c>
      <c r="K20" s="222"/>
    </row>
    <row r="21" spans="2:11" ht="18" customHeight="1" thickBot="1" x14ac:dyDescent="0.25">
      <c r="B21" s="35" t="s">
        <v>37</v>
      </c>
      <c r="C21" s="18">
        <v>200</v>
      </c>
      <c r="D21" s="162"/>
      <c r="E21" s="149"/>
      <c r="F21" s="27">
        <f>IF(SUM(E22:E24)+SUM(E19:E20)&gt;0,0,IF(E21&gt;=300000,(C21+(D21*0)+(E21*3.5%)),0))</f>
        <v>0</v>
      </c>
      <c r="H21" s="116">
        <v>100</v>
      </c>
      <c r="I21" s="36">
        <f>IF(SUM(E22:E24)+SUM(E19:E20)&gt;0,0,IF(E21&gt;=300000,(100+(E21*5%)),0))</f>
        <v>0</v>
      </c>
      <c r="J21" s="37">
        <f>E21</f>
        <v>0</v>
      </c>
      <c r="K21" s="222"/>
    </row>
    <row r="22" spans="2:11" ht="18" customHeight="1" thickBot="1" x14ac:dyDescent="0.25">
      <c r="B22" s="30" t="s">
        <v>38</v>
      </c>
      <c r="C22" s="38">
        <v>200</v>
      </c>
      <c r="D22" s="39"/>
      <c r="E22" s="151"/>
      <c r="F22" s="27">
        <f>IF(SUM(E19:E21)+E23&gt;0,0,IF(E22&gt;=700000,(C22+(D22*0)+(E22*3%)),0))</f>
        <v>0</v>
      </c>
      <c r="H22" s="115">
        <v>100</v>
      </c>
      <c r="I22" s="33">
        <f>IF(SUM(E19:E21)+E23&gt;0,0,IF(E22&gt;=700000,(100+(E22*4.5%)),0))</f>
        <v>0</v>
      </c>
      <c r="J22" s="34">
        <f>E22</f>
        <v>0</v>
      </c>
      <c r="K22" s="222"/>
    </row>
    <row r="23" spans="2:11" ht="18" customHeight="1" thickBot="1" x14ac:dyDescent="0.25">
      <c r="B23" s="35" t="s">
        <v>39</v>
      </c>
      <c r="C23" s="40">
        <v>200</v>
      </c>
      <c r="D23" s="162"/>
      <c r="E23" s="149"/>
      <c r="F23" s="27">
        <f>IF(SUM(E19:E22)&gt;0,0,IF(E23&gt;=1000000,(C23+(D23*0)+(E23*2.5%)),0))</f>
        <v>0</v>
      </c>
      <c r="H23" s="114">
        <v>100</v>
      </c>
      <c r="I23" s="41">
        <f>IF(SUM(E19:E22)&gt;0,0,IF(E23&gt;=1000000,(100+(E23*4%)),0))</f>
        <v>0</v>
      </c>
      <c r="J23" s="42">
        <f>E23</f>
        <v>0</v>
      </c>
      <c r="K23" s="223"/>
    </row>
    <row r="24" spans="2:11" ht="17.25" customHeight="1" thickBot="1" x14ac:dyDescent="0.25">
      <c r="B24" s="14" t="s">
        <v>40</v>
      </c>
      <c r="C24" s="15">
        <v>200</v>
      </c>
      <c r="D24" s="43"/>
      <c r="E24" s="151"/>
      <c r="F24" s="27">
        <f>IF(D24&gt;0,(D24*450)+C24,0)</f>
        <v>0</v>
      </c>
      <c r="H24" s="83"/>
      <c r="I24" s="83"/>
      <c r="J24" s="83"/>
      <c r="K24" s="84"/>
    </row>
    <row r="25" spans="2:11" ht="21" customHeight="1" x14ac:dyDescent="0.2">
      <c r="B25" s="226" t="s">
        <v>41</v>
      </c>
      <c r="C25" s="227"/>
      <c r="D25" s="227"/>
      <c r="E25" s="227"/>
      <c r="F25" s="228"/>
      <c r="H25" s="239" t="s">
        <v>42</v>
      </c>
      <c r="I25" s="240"/>
      <c r="J25" s="240"/>
      <c r="K25" s="241"/>
    </row>
    <row r="26" spans="2:11" ht="18.75" customHeight="1" x14ac:dyDescent="0.2">
      <c r="B26" s="229"/>
      <c r="C26" s="230"/>
      <c r="D26" s="230"/>
      <c r="E26" s="230"/>
      <c r="F26" s="231"/>
      <c r="H26" s="242"/>
      <c r="I26" s="243"/>
      <c r="J26" s="243"/>
      <c r="K26" s="244"/>
    </row>
    <row r="27" spans="2:11" ht="18" customHeight="1" thickBot="1" x14ac:dyDescent="0.25">
      <c r="B27" s="229"/>
      <c r="C27" s="230"/>
      <c r="D27" s="230"/>
      <c r="E27" s="230"/>
      <c r="F27" s="231"/>
      <c r="H27" s="242"/>
      <c r="I27" s="243"/>
      <c r="J27" s="243"/>
      <c r="K27" s="244"/>
    </row>
    <row r="28" spans="2:11" ht="21.75" customHeight="1" thickBot="1" x14ac:dyDescent="0.3">
      <c r="B28" s="234" t="s">
        <v>43</v>
      </c>
      <c r="C28" s="235"/>
      <c r="D28" s="235"/>
      <c r="E28" s="214">
        <f>IF(SUM(F19:F23)=0,0,IF(SUM(F8:F13)=0,0,IF(SUM(F19:F23)+SUM(F8:F13)&gt;0,(SUM(F19:F23)-200+SUM(F8:F13)))))</f>
        <v>0</v>
      </c>
      <c r="F28" s="215"/>
      <c r="H28" s="245"/>
      <c r="I28" s="246"/>
      <c r="J28" s="246"/>
      <c r="K28" s="247"/>
    </row>
    <row r="29" spans="2:11" ht="9" customHeight="1" thickBot="1" x14ac:dyDescent="0.25">
      <c r="B29" s="44"/>
      <c r="C29" s="45"/>
      <c r="D29" s="46"/>
      <c r="E29" s="47"/>
      <c r="F29" s="48"/>
    </row>
    <row r="30" spans="2:11" ht="22.5" customHeight="1" thickBot="1" x14ac:dyDescent="0.3">
      <c r="B30" s="236" t="s">
        <v>44</v>
      </c>
      <c r="C30" s="237"/>
      <c r="D30" s="237"/>
      <c r="E30" s="237"/>
      <c r="F30" s="237"/>
      <c r="G30" s="237"/>
      <c r="H30" s="237"/>
      <c r="I30" s="237"/>
      <c r="J30" s="237"/>
      <c r="K30" s="238"/>
    </row>
    <row r="31" spans="2:11" s="3" customFormat="1" ht="21" customHeight="1" x14ac:dyDescent="0.2">
      <c r="B31" s="224" t="s">
        <v>45</v>
      </c>
      <c r="C31" s="249" t="s">
        <v>46</v>
      </c>
      <c r="D31" s="249" t="s">
        <v>7</v>
      </c>
      <c r="E31" s="249"/>
      <c r="F31" s="199" t="s">
        <v>8</v>
      </c>
      <c r="H31" s="232" t="s">
        <v>46</v>
      </c>
      <c r="I31" s="201" t="s">
        <v>47</v>
      </c>
      <c r="J31" s="201" t="s">
        <v>48</v>
      </c>
      <c r="K31" s="199" t="s">
        <v>33</v>
      </c>
    </row>
    <row r="32" spans="2:11" s="10" customFormat="1" ht="51.75" customHeight="1" thickBot="1" x14ac:dyDescent="0.25">
      <c r="B32" s="225"/>
      <c r="C32" s="250"/>
      <c r="D32" s="250"/>
      <c r="E32" s="250"/>
      <c r="F32" s="248"/>
      <c r="G32" s="9"/>
      <c r="H32" s="233"/>
      <c r="I32" s="202"/>
      <c r="J32" s="202"/>
      <c r="K32" s="200"/>
    </row>
    <row r="33" spans="2:11" ht="30" customHeight="1" thickBot="1" x14ac:dyDescent="0.25">
      <c r="B33" s="49" t="s">
        <v>49</v>
      </c>
      <c r="C33" s="100">
        <v>200</v>
      </c>
      <c r="D33" s="206">
        <v>110</v>
      </c>
      <c r="E33" s="207"/>
      <c r="F33" s="50">
        <f>IF(D33&lt;=0,0,(D33+220)*91%+C33)</f>
        <v>500.3</v>
      </c>
      <c r="G33" s="4"/>
      <c r="H33" s="98">
        <v>200</v>
      </c>
      <c r="I33" s="53">
        <f>IF(D33&lt;=0,0,((D33-100)*2+100*0.2)+C33)</f>
        <v>240</v>
      </c>
      <c r="J33" s="105">
        <f>IF(F33=0,0,(1*500))</f>
        <v>500</v>
      </c>
      <c r="K33" s="106" t="s">
        <v>50</v>
      </c>
    </row>
    <row r="34" spans="2:11" ht="19.5" customHeight="1" thickBot="1" x14ac:dyDescent="0.25">
      <c r="B34" s="203"/>
      <c r="C34" s="204"/>
      <c r="D34" s="204"/>
      <c r="E34" s="204"/>
      <c r="F34" s="204"/>
      <c r="G34" s="204"/>
      <c r="H34" s="204"/>
      <c r="I34" s="204"/>
      <c r="J34" s="204"/>
      <c r="K34" s="205"/>
    </row>
    <row r="35" spans="2:11" ht="53.25" customHeight="1" thickBot="1" x14ac:dyDescent="0.25">
      <c r="B35" s="79" t="s">
        <v>51</v>
      </c>
      <c r="C35" s="21" t="s">
        <v>5</v>
      </c>
      <c r="D35" s="295" t="s">
        <v>52</v>
      </c>
      <c r="E35" s="296"/>
      <c r="F35" s="23" t="s">
        <v>30</v>
      </c>
      <c r="H35" s="99" t="s">
        <v>5</v>
      </c>
      <c r="I35" s="124" t="s">
        <v>53</v>
      </c>
      <c r="J35" s="80" t="s">
        <v>54</v>
      </c>
      <c r="K35" s="51" t="s">
        <v>33</v>
      </c>
    </row>
    <row r="36" spans="2:11" ht="51" customHeight="1" thickBot="1" x14ac:dyDescent="0.25">
      <c r="B36" s="11" t="s">
        <v>55</v>
      </c>
      <c r="C36" s="12">
        <v>100</v>
      </c>
      <c r="D36" s="299"/>
      <c r="E36" s="300"/>
      <c r="F36" s="52">
        <f>IF(D36&lt;0,0,IF(D36&gt;0,((D36*7.5%)+C36),0))</f>
        <v>0</v>
      </c>
      <c r="H36" s="81">
        <v>100</v>
      </c>
      <c r="I36" s="53">
        <f>IF(D36&lt;=50000,D36*4.5,IF(D36&gt;=50001,D36*4,0))</f>
        <v>0</v>
      </c>
      <c r="J36" s="107">
        <f>D36</f>
        <v>0</v>
      </c>
      <c r="K36" s="108" t="s">
        <v>56</v>
      </c>
    </row>
    <row r="37" spans="2:11" ht="47.25" customHeight="1" thickBot="1" x14ac:dyDescent="0.25">
      <c r="B37" s="292" t="s">
        <v>57</v>
      </c>
      <c r="C37" s="293"/>
      <c r="D37" s="293"/>
      <c r="E37" s="293"/>
      <c r="F37" s="294"/>
      <c r="H37" s="198" t="s">
        <v>58</v>
      </c>
      <c r="I37" s="198"/>
      <c r="J37" s="198"/>
      <c r="K37" s="198"/>
    </row>
    <row r="38" spans="2:11" ht="24" customHeight="1" thickBot="1" x14ac:dyDescent="0.3">
      <c r="B38" s="297" t="s">
        <v>43</v>
      </c>
      <c r="C38" s="298"/>
      <c r="D38" s="298"/>
      <c r="E38" s="214">
        <f>IF(SUM(F33:F33)=0,0,SUM(F33:F33)+F36)</f>
        <v>500.3</v>
      </c>
      <c r="F38" s="215"/>
      <c r="I38" s="307"/>
      <c r="J38" s="307"/>
      <c r="K38" s="307"/>
    </row>
    <row r="39" spans="2:11" ht="11.25" customHeight="1" thickBot="1" x14ac:dyDescent="0.25">
      <c r="B39" s="301"/>
      <c r="C39" s="302"/>
      <c r="D39" s="302"/>
      <c r="E39" s="302"/>
      <c r="F39" s="303"/>
      <c r="H39" s="288"/>
      <c r="I39" s="288"/>
      <c r="J39" s="288"/>
      <c r="K39" s="288"/>
    </row>
    <row r="40" spans="2:11" ht="22.5" customHeight="1" thickBot="1" x14ac:dyDescent="0.25">
      <c r="B40" s="54" t="s">
        <v>59</v>
      </c>
      <c r="C40" s="55"/>
      <c r="D40" s="55"/>
      <c r="E40" s="55"/>
      <c r="F40" s="56"/>
      <c r="H40" s="285"/>
      <c r="I40" s="286"/>
      <c r="J40" s="286"/>
      <c r="K40" s="287"/>
    </row>
    <row r="41" spans="2:11" s="3" customFormat="1" ht="21" customHeight="1" thickBot="1" x14ac:dyDescent="0.3">
      <c r="B41" s="224"/>
      <c r="C41" s="322" t="s">
        <v>60</v>
      </c>
      <c r="D41" s="322" t="s">
        <v>61</v>
      </c>
      <c r="E41" s="322" t="s">
        <v>62</v>
      </c>
      <c r="F41" s="199" t="s">
        <v>63</v>
      </c>
      <c r="H41" s="319" t="s">
        <v>64</v>
      </c>
      <c r="I41" s="320"/>
      <c r="J41" s="320"/>
      <c r="K41" s="321"/>
    </row>
    <row r="42" spans="2:11" s="10" customFormat="1" ht="36.75" customHeight="1" thickTop="1" thickBot="1" x14ac:dyDescent="0.25">
      <c r="B42" s="225"/>
      <c r="C42" s="323"/>
      <c r="D42" s="323"/>
      <c r="E42" s="323"/>
      <c r="F42" s="248"/>
      <c r="G42" s="9"/>
      <c r="H42" s="304" t="s">
        <v>65</v>
      </c>
      <c r="I42" s="305"/>
      <c r="J42" s="305"/>
      <c r="K42" s="306"/>
    </row>
    <row r="43" spans="2:11" ht="21.75" customHeight="1" thickBot="1" x14ac:dyDescent="0.25">
      <c r="B43" s="57" t="s">
        <v>66</v>
      </c>
      <c r="C43" s="40">
        <v>100</v>
      </c>
      <c r="D43" s="18">
        <v>400</v>
      </c>
      <c r="E43" s="58"/>
      <c r="F43" s="59">
        <f>IF(E43=0,0,IF(E43&lt;=2,(C43+D43),IF(E43&gt;=3,(E43*55)+500+C43)))</f>
        <v>0</v>
      </c>
      <c r="H43" s="304" t="s">
        <v>67</v>
      </c>
      <c r="I43" s="305"/>
      <c r="J43" s="305"/>
      <c r="K43" s="306"/>
    </row>
    <row r="44" spans="2:11" ht="16.5" customHeight="1" thickBot="1" x14ac:dyDescent="0.25">
      <c r="B44" s="60" t="s">
        <v>68</v>
      </c>
      <c r="C44" s="38">
        <v>100</v>
      </c>
      <c r="D44" s="15">
        <v>450</v>
      </c>
      <c r="E44" s="32"/>
      <c r="F44" s="59">
        <f>IF(E44=0,0,(C44+D44))</f>
        <v>0</v>
      </c>
      <c r="H44" s="289" t="s">
        <v>69</v>
      </c>
      <c r="I44" s="290"/>
      <c r="J44" s="290"/>
      <c r="K44" s="291"/>
    </row>
    <row r="45" spans="2:11" ht="18" customHeight="1" thickBot="1" x14ac:dyDescent="0.25">
      <c r="B45" s="61" t="s">
        <v>70</v>
      </c>
      <c r="C45" s="40">
        <v>100</v>
      </c>
      <c r="D45" s="18">
        <v>400</v>
      </c>
      <c r="E45" s="26"/>
      <c r="F45" s="59">
        <f>IF(E45=0,0,(E45*25)+C45+D45)</f>
        <v>0</v>
      </c>
      <c r="H45" s="289"/>
      <c r="I45" s="290"/>
      <c r="J45" s="290"/>
      <c r="K45" s="291"/>
    </row>
    <row r="46" spans="2:11" ht="18" customHeight="1" thickBot="1" x14ac:dyDescent="0.25">
      <c r="B46" s="62" t="s">
        <v>71</v>
      </c>
      <c r="C46" s="63">
        <v>100</v>
      </c>
      <c r="D46" s="63">
        <v>1100</v>
      </c>
      <c r="E46" s="32"/>
      <c r="F46" s="59">
        <f>IF(E46=0,0,(C46+D46))</f>
        <v>0</v>
      </c>
      <c r="H46" s="289"/>
      <c r="I46" s="290"/>
      <c r="J46" s="290"/>
      <c r="K46" s="291"/>
    </row>
    <row r="47" spans="2:11" ht="18" customHeight="1" thickBot="1" x14ac:dyDescent="0.25">
      <c r="B47" s="57" t="s">
        <v>72</v>
      </c>
      <c r="C47" s="40">
        <v>100</v>
      </c>
      <c r="D47" s="18">
        <v>450</v>
      </c>
      <c r="E47" s="26"/>
      <c r="F47" s="59">
        <f>IF(E47=0,0,(D47+C47))</f>
        <v>0</v>
      </c>
      <c r="H47" s="289" t="s">
        <v>73</v>
      </c>
      <c r="I47" s="290"/>
      <c r="J47" s="290"/>
      <c r="K47" s="291"/>
    </row>
    <row r="48" spans="2:11" ht="15" customHeight="1" thickBot="1" x14ac:dyDescent="0.25">
      <c r="B48" s="64" t="s">
        <v>74</v>
      </c>
      <c r="C48" s="63">
        <v>200</v>
      </c>
      <c r="D48" s="65">
        <v>1700</v>
      </c>
      <c r="E48" s="32"/>
      <c r="F48" s="59">
        <f>IF(E48=0,0,(E48*55)+D48+C48)</f>
        <v>0</v>
      </c>
      <c r="H48" s="289"/>
      <c r="I48" s="290"/>
      <c r="J48" s="290"/>
      <c r="K48" s="291"/>
    </row>
    <row r="49" spans="2:11" ht="18" customHeight="1" thickBot="1" x14ac:dyDescent="0.25">
      <c r="B49" s="61" t="s">
        <v>75</v>
      </c>
      <c r="C49" s="40">
        <v>200</v>
      </c>
      <c r="D49" s="18">
        <v>1600</v>
      </c>
      <c r="E49" s="26"/>
      <c r="F49" s="59">
        <f>IF(E49=0,0,(E49*45)+C49+D49)</f>
        <v>0</v>
      </c>
      <c r="H49" s="289"/>
      <c r="I49" s="290"/>
      <c r="J49" s="290"/>
      <c r="K49" s="291"/>
    </row>
    <row r="50" spans="2:11" ht="18" customHeight="1" thickBot="1" x14ac:dyDescent="0.25">
      <c r="B50" s="60" t="s">
        <v>76</v>
      </c>
      <c r="C50" s="38">
        <v>200</v>
      </c>
      <c r="D50" s="15">
        <v>450</v>
      </c>
      <c r="E50" s="32"/>
      <c r="F50" s="59">
        <f>IF(E50=0,0,(D50*E50)+C50)</f>
        <v>0</v>
      </c>
      <c r="H50" s="289" t="s">
        <v>77</v>
      </c>
      <c r="I50" s="290"/>
      <c r="J50" s="290"/>
      <c r="K50" s="291"/>
    </row>
    <row r="51" spans="2:11" ht="18" customHeight="1" thickBot="1" x14ac:dyDescent="0.25">
      <c r="B51" s="66" t="s">
        <v>78</v>
      </c>
      <c r="C51" s="40">
        <v>200</v>
      </c>
      <c r="D51" s="18">
        <v>450</v>
      </c>
      <c r="E51" s="26"/>
      <c r="F51" s="59">
        <f>IF(E51=0,0,(E51*D51)+C51)</f>
        <v>0</v>
      </c>
      <c r="H51" s="289"/>
      <c r="I51" s="290"/>
      <c r="J51" s="290"/>
      <c r="K51" s="291"/>
    </row>
    <row r="52" spans="2:11" ht="22.5" customHeight="1" thickBot="1" x14ac:dyDescent="0.25">
      <c r="B52" s="60" t="s">
        <v>79</v>
      </c>
      <c r="C52" s="38">
        <v>100</v>
      </c>
      <c r="D52" s="67">
        <v>440</v>
      </c>
      <c r="E52" s="32"/>
      <c r="F52" s="59">
        <f>IF(E52=0,0,(D52+C52))</f>
        <v>0</v>
      </c>
      <c r="H52" s="336"/>
      <c r="I52" s="337"/>
      <c r="J52" s="337"/>
      <c r="K52" s="338"/>
    </row>
    <row r="53" spans="2:11" ht="22.5" customHeight="1" thickBot="1" x14ac:dyDescent="0.25">
      <c r="B53" s="316" t="s">
        <v>80</v>
      </c>
      <c r="C53" s="317"/>
      <c r="D53" s="317"/>
      <c r="E53" s="317"/>
      <c r="F53" s="317"/>
      <c r="G53" s="317"/>
      <c r="H53" s="317"/>
      <c r="I53" s="317"/>
      <c r="J53" s="317"/>
      <c r="K53" s="318"/>
    </row>
    <row r="54" spans="2:11" ht="57" customHeight="1" thickBot="1" x14ac:dyDescent="0.3">
      <c r="B54" s="68"/>
      <c r="C54" s="69" t="s">
        <v>81</v>
      </c>
      <c r="D54" s="69" t="s">
        <v>82</v>
      </c>
      <c r="E54" s="69" t="s">
        <v>83</v>
      </c>
      <c r="F54" s="70" t="s">
        <v>84</v>
      </c>
      <c r="H54" s="324" t="s">
        <v>85</v>
      </c>
      <c r="I54" s="325"/>
      <c r="J54" s="325"/>
      <c r="K54" s="326"/>
    </row>
    <row r="55" spans="2:11" ht="23.25" customHeight="1" thickBot="1" x14ac:dyDescent="0.25">
      <c r="B55" s="71" t="s">
        <v>86</v>
      </c>
      <c r="C55" s="40">
        <v>100</v>
      </c>
      <c r="D55" s="18">
        <v>1750</v>
      </c>
      <c r="E55" s="58"/>
      <c r="F55" s="52">
        <f>IF(E55=0,0,(D55*E55)+C55)</f>
        <v>0</v>
      </c>
      <c r="H55" s="327"/>
      <c r="I55" s="328"/>
      <c r="J55" s="328"/>
      <c r="K55" s="329"/>
    </row>
    <row r="56" spans="2:11" ht="22.5" customHeight="1" thickBot="1" x14ac:dyDescent="0.25">
      <c r="B56" s="72" t="s">
        <v>87</v>
      </c>
      <c r="C56" s="73">
        <v>100</v>
      </c>
      <c r="D56" s="74">
        <v>1750</v>
      </c>
      <c r="E56" s="75"/>
      <c r="F56" s="87">
        <f>IF(E56=0,0,(D56*E56)+C56)</f>
        <v>0</v>
      </c>
      <c r="H56" s="327"/>
      <c r="I56" s="328"/>
      <c r="J56" s="328"/>
      <c r="K56" s="329"/>
    </row>
    <row r="57" spans="2:11" ht="27.75" customHeight="1" thickBot="1" x14ac:dyDescent="0.25">
      <c r="B57" s="76" t="s">
        <v>88</v>
      </c>
      <c r="C57" s="313" t="s">
        <v>89</v>
      </c>
      <c r="D57" s="314"/>
      <c r="E57" s="314"/>
      <c r="F57" s="315"/>
      <c r="H57" s="330"/>
      <c r="I57" s="331"/>
      <c r="J57" s="331"/>
      <c r="K57" s="332"/>
    </row>
    <row r="58" spans="2:11" ht="15.75" customHeight="1" thickBot="1" x14ac:dyDescent="0.25"/>
    <row r="59" spans="2:11" ht="22.5" customHeight="1" thickBot="1" x14ac:dyDescent="0.25">
      <c r="B59" s="333" t="s">
        <v>90</v>
      </c>
      <c r="C59" s="334"/>
      <c r="D59" s="334"/>
      <c r="E59" s="334"/>
      <c r="F59" s="334"/>
      <c r="G59" s="334"/>
      <c r="H59" s="334"/>
      <c r="I59" s="334"/>
      <c r="J59" s="334"/>
      <c r="K59" s="335"/>
    </row>
    <row r="60" spans="2:11" s="7" customFormat="1" ht="3" customHeight="1" thickBot="1" x14ac:dyDescent="0.25">
      <c r="B60" s="77"/>
      <c r="C60" s="78"/>
      <c r="D60" s="77"/>
      <c r="E60" s="77"/>
      <c r="F60" s="3"/>
    </row>
    <row r="61" spans="2:11" ht="20.25" customHeight="1" thickBot="1" x14ac:dyDescent="0.25">
      <c r="B61" s="349" t="s">
        <v>91</v>
      </c>
      <c r="C61" s="351" t="s">
        <v>92</v>
      </c>
      <c r="D61" s="352"/>
      <c r="E61" s="352"/>
      <c r="F61" s="352"/>
      <c r="G61" s="352"/>
      <c r="H61" s="352"/>
      <c r="I61" s="352"/>
      <c r="J61" s="352"/>
      <c r="K61" s="353"/>
    </row>
    <row r="62" spans="2:11" ht="45.75" customHeight="1" thickBot="1" x14ac:dyDescent="0.25">
      <c r="B62" s="350"/>
      <c r="C62" s="119" t="s">
        <v>93</v>
      </c>
      <c r="D62" s="118" t="s">
        <v>94</v>
      </c>
      <c r="E62" s="119" t="s">
        <v>95</v>
      </c>
      <c r="F62" s="347" t="s">
        <v>96</v>
      </c>
      <c r="G62" s="348"/>
      <c r="H62" s="363" t="s">
        <v>97</v>
      </c>
      <c r="I62" s="363"/>
      <c r="J62" s="360" t="s">
        <v>98</v>
      </c>
      <c r="K62" s="361"/>
    </row>
    <row r="63" spans="2:11" ht="21" customHeight="1" thickTop="1" thickBot="1" x14ac:dyDescent="0.25">
      <c r="B63" s="120" t="s">
        <v>99</v>
      </c>
      <c r="C63" s="12">
        <v>0</v>
      </c>
      <c r="D63" s="12" t="s">
        <v>100</v>
      </c>
      <c r="E63" s="12">
        <v>110</v>
      </c>
      <c r="F63" s="193"/>
      <c r="G63" s="193"/>
      <c r="H63" s="308">
        <f>IF(SUM(F63:F70)=0,0,IF(F63=0,0,IF(F63&gt;0,(E63*F63))))</f>
        <v>0</v>
      </c>
      <c r="I63" s="309"/>
      <c r="J63" s="354" t="s">
        <v>101</v>
      </c>
      <c r="K63" s="355"/>
    </row>
    <row r="64" spans="2:11" ht="21" customHeight="1" thickBot="1" x14ac:dyDescent="0.25">
      <c r="B64" s="120" t="s">
        <v>102</v>
      </c>
      <c r="C64" s="12">
        <v>0</v>
      </c>
      <c r="D64" s="12" t="s">
        <v>100</v>
      </c>
      <c r="E64" s="12">
        <v>110</v>
      </c>
      <c r="F64" s="193"/>
      <c r="G64" s="193"/>
      <c r="H64" s="308">
        <f>IF(SUM(F63:F70)=0,0,IF(F64=0,0,IF(F64&gt;0,(E64*F64))))</f>
        <v>0</v>
      </c>
      <c r="I64" s="309"/>
      <c r="J64" s="356"/>
      <c r="K64" s="357"/>
    </row>
    <row r="65" spans="2:11" ht="18.75" customHeight="1" thickBot="1" x14ac:dyDescent="0.25">
      <c r="B65" s="120" t="s">
        <v>103</v>
      </c>
      <c r="C65" s="12">
        <v>0</v>
      </c>
      <c r="D65" s="12" t="s">
        <v>100</v>
      </c>
      <c r="E65" s="12">
        <v>110</v>
      </c>
      <c r="F65" s="193"/>
      <c r="G65" s="193"/>
      <c r="H65" s="308">
        <f>IF(SUM(F63:F70)=0,0,IF(F65=0,0,IF(F65&gt;0,(E65*F65))))</f>
        <v>0</v>
      </c>
      <c r="I65" s="309"/>
      <c r="J65" s="356"/>
      <c r="K65" s="357"/>
    </row>
    <row r="66" spans="2:11" ht="19.5" customHeight="1" thickBot="1" x14ac:dyDescent="0.25">
      <c r="B66" s="120" t="s">
        <v>104</v>
      </c>
      <c r="C66" s="12">
        <v>110</v>
      </c>
      <c r="D66" s="161" t="s">
        <v>105</v>
      </c>
      <c r="E66" s="12">
        <v>0.7</v>
      </c>
      <c r="F66" s="193"/>
      <c r="G66" s="193"/>
      <c r="H66" s="308">
        <f>IF(SUM(F63:F70)=0,0,IF(F66=0,0,IF(F66&gt;0,(F66*E66)+C66)))</f>
        <v>0</v>
      </c>
      <c r="I66" s="309"/>
      <c r="J66" s="356"/>
      <c r="K66" s="357"/>
    </row>
    <row r="67" spans="2:11" ht="21" customHeight="1" thickBot="1" x14ac:dyDescent="0.25">
      <c r="B67" s="120" t="s">
        <v>106</v>
      </c>
      <c r="C67" s="12">
        <v>110</v>
      </c>
      <c r="D67" s="161" t="s">
        <v>105</v>
      </c>
      <c r="E67" s="12">
        <v>0.7</v>
      </c>
      <c r="F67" s="193"/>
      <c r="G67" s="193"/>
      <c r="H67" s="308">
        <f>IF(SUM(F63:F70)=0,0,IF(F67=0,0,IF(F67&gt;0,(F67*E67)+C67)))</f>
        <v>0</v>
      </c>
      <c r="I67" s="309"/>
      <c r="J67" s="356"/>
      <c r="K67" s="357"/>
    </row>
    <row r="68" spans="2:11" ht="21" customHeight="1" thickBot="1" x14ac:dyDescent="0.25">
      <c r="B68" s="120" t="s">
        <v>107</v>
      </c>
      <c r="C68" s="12">
        <v>100</v>
      </c>
      <c r="D68" s="161" t="s">
        <v>105</v>
      </c>
      <c r="E68" s="12">
        <v>0.7</v>
      </c>
      <c r="F68" s="193"/>
      <c r="G68" s="193"/>
      <c r="H68" s="308">
        <f>IF(SUM(F63:F70)=0,0,IF(F68=0,0,IF(F68&gt;0,(F68*E68)+C68)))</f>
        <v>0</v>
      </c>
      <c r="I68" s="309"/>
      <c r="J68" s="356"/>
      <c r="K68" s="357"/>
    </row>
    <row r="69" spans="2:11" ht="18.75" customHeight="1" thickBot="1" x14ac:dyDescent="0.25">
      <c r="B69" s="120" t="s">
        <v>108</v>
      </c>
      <c r="C69" s="12">
        <v>110</v>
      </c>
      <c r="D69" s="12" t="s">
        <v>100</v>
      </c>
      <c r="E69" s="12">
        <v>0</v>
      </c>
      <c r="F69" s="193"/>
      <c r="G69" s="193"/>
      <c r="H69" s="308">
        <f>IF(SUM(F63:F72)=0,0,IF(F69=0,0,IF(F69&gt;0,(F69*E69)+C69)))</f>
        <v>0</v>
      </c>
      <c r="I69" s="309"/>
      <c r="J69" s="356"/>
      <c r="K69" s="357"/>
    </row>
    <row r="70" spans="2:11" ht="19.5" customHeight="1" thickBot="1" x14ac:dyDescent="0.25">
      <c r="B70" s="120" t="s">
        <v>109</v>
      </c>
      <c r="C70" s="12">
        <v>110</v>
      </c>
      <c r="D70" s="12" t="s">
        <v>100</v>
      </c>
      <c r="E70" s="12">
        <v>0</v>
      </c>
      <c r="F70" s="193"/>
      <c r="G70" s="193"/>
      <c r="H70" s="308">
        <f>IF(SUM(F63:F73)=0,0,IF(F70=0,0,IF(F70&gt;0,(F70*E70)+C70)))</f>
        <v>0</v>
      </c>
      <c r="I70" s="309"/>
      <c r="J70" s="358"/>
      <c r="K70" s="359"/>
    </row>
    <row r="71" spans="2:11" ht="22.5" customHeight="1" x14ac:dyDescent="0.2">
      <c r="B71" s="121"/>
      <c r="C71" s="339" t="s">
        <v>110</v>
      </c>
      <c r="D71" s="339"/>
      <c r="E71" s="339"/>
      <c r="F71" s="339"/>
      <c r="G71" s="45"/>
      <c r="H71" s="362">
        <f>SUM(H63:I70)</f>
        <v>0</v>
      </c>
      <c r="I71" s="362"/>
      <c r="J71" s="2"/>
      <c r="K71" s="117"/>
    </row>
    <row r="72" spans="2:11" ht="22.5" customHeight="1" thickBot="1" x14ac:dyDescent="0.25">
      <c r="B72" s="341" t="s">
        <v>111</v>
      </c>
      <c r="C72" s="341"/>
      <c r="D72" s="341"/>
      <c r="E72" s="341"/>
      <c r="F72" s="341"/>
      <c r="G72" s="122"/>
      <c r="H72" s="342">
        <v>100</v>
      </c>
      <c r="I72" s="342"/>
    </row>
    <row r="73" spans="2:11" ht="26.25" customHeight="1" thickTop="1" x14ac:dyDescent="0.25">
      <c r="C73" s="312" t="s">
        <v>112</v>
      </c>
      <c r="D73" s="312"/>
      <c r="E73" s="312"/>
      <c r="F73" s="312"/>
      <c r="G73" s="123"/>
      <c r="H73" s="310">
        <f>IF(H71=0,0,IF(H71&gt;0,H71+H72))</f>
        <v>0</v>
      </c>
      <c r="I73" s="311"/>
    </row>
    <row r="74" spans="2:11" ht="7.5" customHeight="1" x14ac:dyDescent="0.25">
      <c r="C74" s="125"/>
      <c r="D74" s="125"/>
      <c r="E74" s="125"/>
      <c r="F74" s="125"/>
      <c r="G74" s="126"/>
      <c r="H74" s="127"/>
      <c r="I74" s="128"/>
    </row>
    <row r="75" spans="2:11" ht="13.5" thickBot="1" x14ac:dyDescent="0.25"/>
    <row r="76" spans="2:11" ht="27.75" customHeight="1" x14ac:dyDescent="0.2">
      <c r="B76" s="343" t="s">
        <v>113</v>
      </c>
      <c r="C76" s="184" t="s">
        <v>92</v>
      </c>
      <c r="D76" s="185"/>
      <c r="E76" s="185"/>
      <c r="F76" s="185"/>
      <c r="G76" s="185"/>
      <c r="H76" s="185"/>
      <c r="I76" s="185"/>
      <c r="J76" s="185"/>
      <c r="K76" s="186"/>
    </row>
    <row r="77" spans="2:11" ht="39.75" customHeight="1" thickBot="1" x14ac:dyDescent="0.25">
      <c r="B77" s="344"/>
      <c r="C77" s="119" t="s">
        <v>93</v>
      </c>
      <c r="D77" s="118" t="s">
        <v>94</v>
      </c>
      <c r="E77" s="119" t="s">
        <v>95</v>
      </c>
      <c r="F77" s="345" t="s">
        <v>96</v>
      </c>
      <c r="G77" s="346"/>
      <c r="H77" s="187" t="s">
        <v>114</v>
      </c>
      <c r="I77" s="188"/>
      <c r="J77" s="188"/>
      <c r="K77" s="189"/>
    </row>
    <row r="78" spans="2:11" ht="19.5" customHeight="1" thickTop="1" thickBot="1" x14ac:dyDescent="0.25">
      <c r="B78" s="120" t="s">
        <v>115</v>
      </c>
      <c r="C78" s="12">
        <v>325</v>
      </c>
      <c r="D78" s="161" t="s">
        <v>105</v>
      </c>
      <c r="E78" s="12">
        <v>0.55000000000000004</v>
      </c>
      <c r="F78" s="193"/>
      <c r="G78" s="194"/>
      <c r="H78" s="190">
        <f>IF(SUM(F75:G82)=0,0,IF(SUM(F79:G84)&gt;0,0,IF(F78&gt;0,(F78*E78)+C78)))</f>
        <v>0</v>
      </c>
      <c r="I78" s="191"/>
      <c r="J78" s="191"/>
      <c r="K78" s="192"/>
    </row>
    <row r="79" spans="2:11" ht="21" customHeight="1" thickBot="1" x14ac:dyDescent="0.25">
      <c r="B79" s="120" t="s">
        <v>116</v>
      </c>
      <c r="C79" s="12">
        <v>550</v>
      </c>
      <c r="D79" s="161" t="s">
        <v>105</v>
      </c>
      <c r="E79" s="12">
        <v>0.45</v>
      </c>
      <c r="F79" s="193"/>
      <c r="G79" s="194"/>
      <c r="H79" s="181">
        <f>IF(SUM(F78:F84)=0,0,IF(F79=0,0,(F79*E79)+C79))</f>
        <v>0</v>
      </c>
      <c r="I79" s="182"/>
      <c r="J79" s="182"/>
      <c r="K79" s="183"/>
    </row>
    <row r="80" spans="2:11" ht="18.75" customHeight="1" thickBot="1" x14ac:dyDescent="0.25">
      <c r="B80" s="120" t="s">
        <v>117</v>
      </c>
      <c r="C80" s="12">
        <v>675</v>
      </c>
      <c r="D80" s="161" t="s">
        <v>105</v>
      </c>
      <c r="E80" s="12">
        <v>0.35</v>
      </c>
      <c r="F80" s="193"/>
      <c r="G80" s="194"/>
      <c r="H80" s="181">
        <f>IF(SUM(F78:F84)=0,0,IF(F80=0,0,IF(F80&gt;0,(F80*E80)+C80)))</f>
        <v>0</v>
      </c>
      <c r="I80" s="182"/>
      <c r="J80" s="182"/>
      <c r="K80" s="183"/>
    </row>
    <row r="81" spans="2:11" ht="19.5" customHeight="1" thickBot="1" x14ac:dyDescent="0.25">
      <c r="B81" s="120" t="s">
        <v>109</v>
      </c>
      <c r="C81" s="12">
        <v>110</v>
      </c>
      <c r="D81" s="161" t="s">
        <v>118</v>
      </c>
      <c r="E81" s="12"/>
      <c r="F81" s="193"/>
      <c r="G81" s="194"/>
      <c r="H81" s="181">
        <f>IF(SUM(F78:F84)=0,0,IF(F81=0,0,IF(F81&gt;0,(F81*E81)+C81)))</f>
        <v>0</v>
      </c>
      <c r="I81" s="182"/>
      <c r="J81" s="182"/>
      <c r="K81" s="183"/>
    </row>
    <row r="82" spans="2:11" ht="30" customHeight="1" thickBot="1" x14ac:dyDescent="0.25">
      <c r="B82" s="120" t="s">
        <v>119</v>
      </c>
      <c r="C82" s="12"/>
      <c r="D82" s="161" t="s">
        <v>120</v>
      </c>
      <c r="E82" s="12">
        <v>120</v>
      </c>
      <c r="F82" s="193"/>
      <c r="G82" s="194"/>
      <c r="H82" s="181">
        <f>IF(SUM(F79:F84)=0,0,IF(F82=0,0,IF(F82&gt;0,(F82*E82))))</f>
        <v>0</v>
      </c>
      <c r="I82" s="182"/>
      <c r="J82" s="182"/>
      <c r="K82" s="183"/>
    </row>
    <row r="83" spans="2:11" ht="30" customHeight="1" thickBot="1" x14ac:dyDescent="0.25">
      <c r="B83" s="120" t="s">
        <v>121</v>
      </c>
      <c r="C83" s="12">
        <v>450</v>
      </c>
      <c r="D83" s="12" t="s">
        <v>122</v>
      </c>
      <c r="E83" s="12">
        <v>0</v>
      </c>
      <c r="F83" s="193"/>
      <c r="G83" s="194"/>
      <c r="H83" s="181">
        <f>IF(SUM(F78:F84)=0,0,IF(F83=0,0,IF(F83&gt;0,(F83*E83))))</f>
        <v>0</v>
      </c>
      <c r="I83" s="182"/>
      <c r="J83" s="182"/>
      <c r="K83" s="183"/>
    </row>
    <row r="84" spans="2:11" ht="31.5" customHeight="1" thickBot="1" x14ac:dyDescent="0.25">
      <c r="B84" s="120" t="s">
        <v>123</v>
      </c>
      <c r="C84" s="12">
        <v>110</v>
      </c>
      <c r="D84" s="12" t="s">
        <v>100</v>
      </c>
      <c r="E84" s="12">
        <v>110</v>
      </c>
      <c r="F84" s="193"/>
      <c r="G84" s="194"/>
      <c r="H84" s="181">
        <f>IF(SUM(F78:F84)=0,0,IF(F84=0,0,IF(F84&gt;0,(F84*E84))))</f>
        <v>0</v>
      </c>
      <c r="I84" s="182"/>
      <c r="J84" s="182"/>
      <c r="K84" s="183"/>
    </row>
    <row r="85" spans="2:11" ht="22.5" customHeight="1" x14ac:dyDescent="0.2">
      <c r="B85" s="121"/>
      <c r="C85" s="339" t="s">
        <v>110</v>
      </c>
      <c r="D85" s="339"/>
      <c r="E85" s="339"/>
      <c r="F85" s="339"/>
      <c r="G85" s="45"/>
      <c r="H85" s="340">
        <f>SUM(H78:I84)</f>
        <v>0</v>
      </c>
      <c r="I85" s="340"/>
      <c r="J85" s="2"/>
      <c r="K85" s="117"/>
    </row>
    <row r="86" spans="2:11" ht="27.75" customHeight="1" thickBot="1" x14ac:dyDescent="0.25">
      <c r="B86" s="341" t="s">
        <v>111</v>
      </c>
      <c r="C86" s="341"/>
      <c r="D86" s="341"/>
      <c r="E86" s="341"/>
      <c r="F86" s="341"/>
      <c r="G86" s="122"/>
      <c r="H86" s="342">
        <v>100</v>
      </c>
      <c r="I86" s="342"/>
    </row>
    <row r="87" spans="2:11" ht="26.25" customHeight="1" thickTop="1" x14ac:dyDescent="0.25">
      <c r="C87" s="312" t="s">
        <v>112</v>
      </c>
      <c r="D87" s="312"/>
      <c r="E87" s="312"/>
      <c r="F87" s="312"/>
      <c r="G87" s="123"/>
      <c r="H87" s="310">
        <f>IF(H85=0,0,IF(H85&gt;0,H85+H86))</f>
        <v>0</v>
      </c>
      <c r="I87" s="311"/>
    </row>
  </sheetData>
  <sheetProtection selectLockedCells="1"/>
  <mergeCells count="114">
    <mergeCell ref="C87:F87"/>
    <mergeCell ref="H87:I87"/>
    <mergeCell ref="C85:F85"/>
    <mergeCell ref="H85:I85"/>
    <mergeCell ref="B86:F86"/>
    <mergeCell ref="H86:I86"/>
    <mergeCell ref="B76:B77"/>
    <mergeCell ref="F77:G77"/>
    <mergeCell ref="F62:G62"/>
    <mergeCell ref="C71:F71"/>
    <mergeCell ref="B61:B62"/>
    <mergeCell ref="F63:G63"/>
    <mergeCell ref="F64:G64"/>
    <mergeCell ref="C61:K61"/>
    <mergeCell ref="J63:K70"/>
    <mergeCell ref="J62:K62"/>
    <mergeCell ref="H71:I71"/>
    <mergeCell ref="H72:I72"/>
    <mergeCell ref="B72:F72"/>
    <mergeCell ref="F68:G68"/>
    <mergeCell ref="F69:G69"/>
    <mergeCell ref="H62:I62"/>
    <mergeCell ref="H63:I63"/>
    <mergeCell ref="H64:I64"/>
    <mergeCell ref="H65:I65"/>
    <mergeCell ref="H73:I73"/>
    <mergeCell ref="C73:F73"/>
    <mergeCell ref="C57:F57"/>
    <mergeCell ref="B53:K53"/>
    <mergeCell ref="H41:K41"/>
    <mergeCell ref="D41:D42"/>
    <mergeCell ref="H54:K57"/>
    <mergeCell ref="F70:G70"/>
    <mergeCell ref="H67:I67"/>
    <mergeCell ref="F66:G66"/>
    <mergeCell ref="F67:G67"/>
    <mergeCell ref="H70:I70"/>
    <mergeCell ref="F65:G65"/>
    <mergeCell ref="H66:I66"/>
    <mergeCell ref="H68:I68"/>
    <mergeCell ref="H69:I69"/>
    <mergeCell ref="B59:K59"/>
    <mergeCell ref="H47:K49"/>
    <mergeCell ref="E41:E42"/>
    <mergeCell ref="C41:C42"/>
    <mergeCell ref="H50:K52"/>
    <mergeCell ref="H40:K40"/>
    <mergeCell ref="H39:K39"/>
    <mergeCell ref="H44:K46"/>
    <mergeCell ref="B37:F37"/>
    <mergeCell ref="B41:B42"/>
    <mergeCell ref="D35:E35"/>
    <mergeCell ref="B38:D38"/>
    <mergeCell ref="D36:E36"/>
    <mergeCell ref="B39:F39"/>
    <mergeCell ref="E38:F38"/>
    <mergeCell ref="F41:F42"/>
    <mergeCell ref="H42:K42"/>
    <mergeCell ref="H43:K43"/>
    <mergeCell ref="I38:K38"/>
    <mergeCell ref="B3:F3"/>
    <mergeCell ref="H5:K5"/>
    <mergeCell ref="B5:B7"/>
    <mergeCell ref="C5:C7"/>
    <mergeCell ref="D5:D7"/>
    <mergeCell ref="E5:E7"/>
    <mergeCell ref="F5:F7"/>
    <mergeCell ref="H2:K3"/>
    <mergeCell ref="K14:K15"/>
    <mergeCell ref="B2:F2"/>
    <mergeCell ref="H6:H7"/>
    <mergeCell ref="I6:I7"/>
    <mergeCell ref="J6:J7"/>
    <mergeCell ref="K6:K7"/>
    <mergeCell ref="B4:F4"/>
    <mergeCell ref="H4:K4"/>
    <mergeCell ref="H17:K17"/>
    <mergeCell ref="H37:K37"/>
    <mergeCell ref="K31:K32"/>
    <mergeCell ref="I31:I32"/>
    <mergeCell ref="B34:K34"/>
    <mergeCell ref="D33:E33"/>
    <mergeCell ref="H14:I15"/>
    <mergeCell ref="J14:J15"/>
    <mergeCell ref="E28:F28"/>
    <mergeCell ref="B17:B18"/>
    <mergeCell ref="B16:K16"/>
    <mergeCell ref="K19:K23"/>
    <mergeCell ref="B31:B32"/>
    <mergeCell ref="B25:F27"/>
    <mergeCell ref="H31:H32"/>
    <mergeCell ref="B28:D28"/>
    <mergeCell ref="B30:K30"/>
    <mergeCell ref="H25:K28"/>
    <mergeCell ref="F31:F32"/>
    <mergeCell ref="D31:E32"/>
    <mergeCell ref="J31:J32"/>
    <mergeCell ref="C31:C32"/>
    <mergeCell ref="H83:K83"/>
    <mergeCell ref="H84:K84"/>
    <mergeCell ref="C76:K76"/>
    <mergeCell ref="H77:K77"/>
    <mergeCell ref="H78:K78"/>
    <mergeCell ref="F82:G82"/>
    <mergeCell ref="F81:G81"/>
    <mergeCell ref="H81:K81"/>
    <mergeCell ref="F83:G83"/>
    <mergeCell ref="F84:G84"/>
    <mergeCell ref="H82:K82"/>
    <mergeCell ref="F80:G80"/>
    <mergeCell ref="H79:K79"/>
    <mergeCell ref="H80:K80"/>
    <mergeCell ref="F78:G78"/>
    <mergeCell ref="F79:G79"/>
  </mergeCells>
  <phoneticPr fontId="3" type="noConversion"/>
  <pageMargins left="0" right="0" top="0.25" bottom="0.5" header="0" footer="0.25"/>
  <pageSetup scale="86" orientation="landscape" r:id="rId1"/>
  <headerFooter alignWithMargins="0">
    <oddFooter>&amp;R&amp;7&amp;Z&amp;F&amp;D</oddFooter>
  </headerFooter>
  <rowBreaks count="3" manualBreakCount="3">
    <brk id="29" min="1" max="10" man="1"/>
    <brk id="52" min="1" max="10" man="1"/>
    <brk id="74" min="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3915-BA5A-4561-9288-3BD29CF9B7B7}">
  <sheetPr>
    <tabColor rgb="FF00B050"/>
  </sheetPr>
  <dimension ref="A1:H43"/>
  <sheetViews>
    <sheetView zoomScaleNormal="100" workbookViewId="0">
      <selection activeCell="C22" sqref="C22"/>
    </sheetView>
  </sheetViews>
  <sheetFormatPr defaultRowHeight="12.75" x14ac:dyDescent="0.2"/>
  <cols>
    <col min="1" max="1" width="4.85546875" customWidth="1"/>
    <col min="2" max="2" width="8.42578125" customWidth="1"/>
    <col min="3" max="3" width="16.42578125" customWidth="1"/>
    <col min="4" max="4" width="6.7109375" customWidth="1"/>
    <col min="5" max="5" width="7.5703125" customWidth="1"/>
    <col min="6" max="6" width="32" customWidth="1"/>
    <col min="7" max="7" width="10.140625" customWidth="1"/>
    <col min="8" max="8" width="4.5703125" customWidth="1"/>
    <col min="257" max="257" width="4.85546875" customWidth="1"/>
    <col min="258" max="258" width="8.42578125" customWidth="1"/>
    <col min="259" max="259" width="16.42578125" customWidth="1"/>
    <col min="260" max="260" width="6.7109375" customWidth="1"/>
    <col min="261" max="261" width="7.5703125" customWidth="1"/>
    <col min="262" max="262" width="32" customWidth="1"/>
    <col min="263" max="263" width="10.140625" customWidth="1"/>
    <col min="264" max="264" width="4.5703125" customWidth="1"/>
    <col min="513" max="513" width="4.85546875" customWidth="1"/>
    <col min="514" max="514" width="8.42578125" customWidth="1"/>
    <col min="515" max="515" width="16.42578125" customWidth="1"/>
    <col min="516" max="516" width="6.7109375" customWidth="1"/>
    <col min="517" max="517" width="7.5703125" customWidth="1"/>
    <col min="518" max="518" width="32" customWidth="1"/>
    <col min="519" max="519" width="10.140625" customWidth="1"/>
    <col min="520" max="520" width="4.5703125" customWidth="1"/>
    <col min="769" max="769" width="4.85546875" customWidth="1"/>
    <col min="770" max="770" width="8.42578125" customWidth="1"/>
    <col min="771" max="771" width="16.42578125" customWidth="1"/>
    <col min="772" max="772" width="6.7109375" customWidth="1"/>
    <col min="773" max="773" width="7.5703125" customWidth="1"/>
    <col min="774" max="774" width="32" customWidth="1"/>
    <col min="775" max="775" width="10.140625" customWidth="1"/>
    <col min="776" max="776" width="4.5703125" customWidth="1"/>
    <col min="1025" max="1025" width="4.85546875" customWidth="1"/>
    <col min="1026" max="1026" width="8.42578125" customWidth="1"/>
    <col min="1027" max="1027" width="16.42578125" customWidth="1"/>
    <col min="1028" max="1028" width="6.7109375" customWidth="1"/>
    <col min="1029" max="1029" width="7.5703125" customWidth="1"/>
    <col min="1030" max="1030" width="32" customWidth="1"/>
    <col min="1031" max="1031" width="10.140625" customWidth="1"/>
    <col min="1032" max="1032" width="4.5703125" customWidth="1"/>
    <col min="1281" max="1281" width="4.85546875" customWidth="1"/>
    <col min="1282" max="1282" width="8.42578125" customWidth="1"/>
    <col min="1283" max="1283" width="16.42578125" customWidth="1"/>
    <col min="1284" max="1284" width="6.7109375" customWidth="1"/>
    <col min="1285" max="1285" width="7.5703125" customWidth="1"/>
    <col min="1286" max="1286" width="32" customWidth="1"/>
    <col min="1287" max="1287" width="10.140625" customWidth="1"/>
    <col min="1288" max="1288" width="4.5703125" customWidth="1"/>
    <col min="1537" max="1537" width="4.85546875" customWidth="1"/>
    <col min="1538" max="1538" width="8.42578125" customWidth="1"/>
    <col min="1539" max="1539" width="16.42578125" customWidth="1"/>
    <col min="1540" max="1540" width="6.7109375" customWidth="1"/>
    <col min="1541" max="1541" width="7.5703125" customWidth="1"/>
    <col min="1542" max="1542" width="32" customWidth="1"/>
    <col min="1543" max="1543" width="10.140625" customWidth="1"/>
    <col min="1544" max="1544" width="4.5703125" customWidth="1"/>
    <col min="1793" max="1793" width="4.85546875" customWidth="1"/>
    <col min="1794" max="1794" width="8.42578125" customWidth="1"/>
    <col min="1795" max="1795" width="16.42578125" customWidth="1"/>
    <col min="1796" max="1796" width="6.7109375" customWidth="1"/>
    <col min="1797" max="1797" width="7.5703125" customWidth="1"/>
    <col min="1798" max="1798" width="32" customWidth="1"/>
    <col min="1799" max="1799" width="10.140625" customWidth="1"/>
    <col min="1800" max="1800" width="4.5703125" customWidth="1"/>
    <col min="2049" max="2049" width="4.85546875" customWidth="1"/>
    <col min="2050" max="2050" width="8.42578125" customWidth="1"/>
    <col min="2051" max="2051" width="16.42578125" customWidth="1"/>
    <col min="2052" max="2052" width="6.7109375" customWidth="1"/>
    <col min="2053" max="2053" width="7.5703125" customWidth="1"/>
    <col min="2054" max="2054" width="32" customWidth="1"/>
    <col min="2055" max="2055" width="10.140625" customWidth="1"/>
    <col min="2056" max="2056" width="4.5703125" customWidth="1"/>
    <col min="2305" max="2305" width="4.85546875" customWidth="1"/>
    <col min="2306" max="2306" width="8.42578125" customWidth="1"/>
    <col min="2307" max="2307" width="16.42578125" customWidth="1"/>
    <col min="2308" max="2308" width="6.7109375" customWidth="1"/>
    <col min="2309" max="2309" width="7.5703125" customWidth="1"/>
    <col min="2310" max="2310" width="32" customWidth="1"/>
    <col min="2311" max="2311" width="10.140625" customWidth="1"/>
    <col min="2312" max="2312" width="4.5703125" customWidth="1"/>
    <col min="2561" max="2561" width="4.85546875" customWidth="1"/>
    <col min="2562" max="2562" width="8.42578125" customWidth="1"/>
    <col min="2563" max="2563" width="16.42578125" customWidth="1"/>
    <col min="2564" max="2564" width="6.7109375" customWidth="1"/>
    <col min="2565" max="2565" width="7.5703125" customWidth="1"/>
    <col min="2566" max="2566" width="32" customWidth="1"/>
    <col min="2567" max="2567" width="10.140625" customWidth="1"/>
    <col min="2568" max="2568" width="4.5703125" customWidth="1"/>
    <col min="2817" max="2817" width="4.85546875" customWidth="1"/>
    <col min="2818" max="2818" width="8.42578125" customWidth="1"/>
    <col min="2819" max="2819" width="16.42578125" customWidth="1"/>
    <col min="2820" max="2820" width="6.7109375" customWidth="1"/>
    <col min="2821" max="2821" width="7.5703125" customWidth="1"/>
    <col min="2822" max="2822" width="32" customWidth="1"/>
    <col min="2823" max="2823" width="10.140625" customWidth="1"/>
    <col min="2824" max="2824" width="4.5703125" customWidth="1"/>
    <col min="3073" max="3073" width="4.85546875" customWidth="1"/>
    <col min="3074" max="3074" width="8.42578125" customWidth="1"/>
    <col min="3075" max="3075" width="16.42578125" customWidth="1"/>
    <col min="3076" max="3076" width="6.7109375" customWidth="1"/>
    <col min="3077" max="3077" width="7.5703125" customWidth="1"/>
    <col min="3078" max="3078" width="32" customWidth="1"/>
    <col min="3079" max="3079" width="10.140625" customWidth="1"/>
    <col min="3080" max="3080" width="4.5703125" customWidth="1"/>
    <col min="3329" max="3329" width="4.85546875" customWidth="1"/>
    <col min="3330" max="3330" width="8.42578125" customWidth="1"/>
    <col min="3331" max="3331" width="16.42578125" customWidth="1"/>
    <col min="3332" max="3332" width="6.7109375" customWidth="1"/>
    <col min="3333" max="3333" width="7.5703125" customWidth="1"/>
    <col min="3334" max="3334" width="32" customWidth="1"/>
    <col min="3335" max="3335" width="10.140625" customWidth="1"/>
    <col min="3336" max="3336" width="4.5703125" customWidth="1"/>
    <col min="3585" max="3585" width="4.85546875" customWidth="1"/>
    <col min="3586" max="3586" width="8.42578125" customWidth="1"/>
    <col min="3587" max="3587" width="16.42578125" customWidth="1"/>
    <col min="3588" max="3588" width="6.7109375" customWidth="1"/>
    <col min="3589" max="3589" width="7.5703125" customWidth="1"/>
    <col min="3590" max="3590" width="32" customWidth="1"/>
    <col min="3591" max="3591" width="10.140625" customWidth="1"/>
    <col min="3592" max="3592" width="4.5703125" customWidth="1"/>
    <col min="3841" max="3841" width="4.85546875" customWidth="1"/>
    <col min="3842" max="3842" width="8.42578125" customWidth="1"/>
    <col min="3843" max="3843" width="16.42578125" customWidth="1"/>
    <col min="3844" max="3844" width="6.7109375" customWidth="1"/>
    <col min="3845" max="3845" width="7.5703125" customWidth="1"/>
    <col min="3846" max="3846" width="32" customWidth="1"/>
    <col min="3847" max="3847" width="10.140625" customWidth="1"/>
    <col min="3848" max="3848" width="4.5703125" customWidth="1"/>
    <col min="4097" max="4097" width="4.85546875" customWidth="1"/>
    <col min="4098" max="4098" width="8.42578125" customWidth="1"/>
    <col min="4099" max="4099" width="16.42578125" customWidth="1"/>
    <col min="4100" max="4100" width="6.7109375" customWidth="1"/>
    <col min="4101" max="4101" width="7.5703125" customWidth="1"/>
    <col min="4102" max="4102" width="32" customWidth="1"/>
    <col min="4103" max="4103" width="10.140625" customWidth="1"/>
    <col min="4104" max="4104" width="4.5703125" customWidth="1"/>
    <col min="4353" max="4353" width="4.85546875" customWidth="1"/>
    <col min="4354" max="4354" width="8.42578125" customWidth="1"/>
    <col min="4355" max="4355" width="16.42578125" customWidth="1"/>
    <col min="4356" max="4356" width="6.7109375" customWidth="1"/>
    <col min="4357" max="4357" width="7.5703125" customWidth="1"/>
    <col min="4358" max="4358" width="32" customWidth="1"/>
    <col min="4359" max="4359" width="10.140625" customWidth="1"/>
    <col min="4360" max="4360" width="4.5703125" customWidth="1"/>
    <col min="4609" max="4609" width="4.85546875" customWidth="1"/>
    <col min="4610" max="4610" width="8.42578125" customWidth="1"/>
    <col min="4611" max="4611" width="16.42578125" customWidth="1"/>
    <col min="4612" max="4612" width="6.7109375" customWidth="1"/>
    <col min="4613" max="4613" width="7.5703125" customWidth="1"/>
    <col min="4614" max="4614" width="32" customWidth="1"/>
    <col min="4615" max="4615" width="10.140625" customWidth="1"/>
    <col min="4616" max="4616" width="4.5703125" customWidth="1"/>
    <col min="4865" max="4865" width="4.85546875" customWidth="1"/>
    <col min="4866" max="4866" width="8.42578125" customWidth="1"/>
    <col min="4867" max="4867" width="16.42578125" customWidth="1"/>
    <col min="4868" max="4868" width="6.7109375" customWidth="1"/>
    <col min="4869" max="4869" width="7.5703125" customWidth="1"/>
    <col min="4870" max="4870" width="32" customWidth="1"/>
    <col min="4871" max="4871" width="10.140625" customWidth="1"/>
    <col min="4872" max="4872" width="4.5703125" customWidth="1"/>
    <col min="5121" max="5121" width="4.85546875" customWidth="1"/>
    <col min="5122" max="5122" width="8.42578125" customWidth="1"/>
    <col min="5123" max="5123" width="16.42578125" customWidth="1"/>
    <col min="5124" max="5124" width="6.7109375" customWidth="1"/>
    <col min="5125" max="5125" width="7.5703125" customWidth="1"/>
    <col min="5126" max="5126" width="32" customWidth="1"/>
    <col min="5127" max="5127" width="10.140625" customWidth="1"/>
    <col min="5128" max="5128" width="4.5703125" customWidth="1"/>
    <col min="5377" max="5377" width="4.85546875" customWidth="1"/>
    <col min="5378" max="5378" width="8.42578125" customWidth="1"/>
    <col min="5379" max="5379" width="16.42578125" customWidth="1"/>
    <col min="5380" max="5380" width="6.7109375" customWidth="1"/>
    <col min="5381" max="5381" width="7.5703125" customWidth="1"/>
    <col min="5382" max="5382" width="32" customWidth="1"/>
    <col min="5383" max="5383" width="10.140625" customWidth="1"/>
    <col min="5384" max="5384" width="4.5703125" customWidth="1"/>
    <col min="5633" max="5633" width="4.85546875" customWidth="1"/>
    <col min="5634" max="5634" width="8.42578125" customWidth="1"/>
    <col min="5635" max="5635" width="16.42578125" customWidth="1"/>
    <col min="5636" max="5636" width="6.7109375" customWidth="1"/>
    <col min="5637" max="5637" width="7.5703125" customWidth="1"/>
    <col min="5638" max="5638" width="32" customWidth="1"/>
    <col min="5639" max="5639" width="10.140625" customWidth="1"/>
    <col min="5640" max="5640" width="4.5703125" customWidth="1"/>
    <col min="5889" max="5889" width="4.85546875" customWidth="1"/>
    <col min="5890" max="5890" width="8.42578125" customWidth="1"/>
    <col min="5891" max="5891" width="16.42578125" customWidth="1"/>
    <col min="5892" max="5892" width="6.7109375" customWidth="1"/>
    <col min="5893" max="5893" width="7.5703125" customWidth="1"/>
    <col min="5894" max="5894" width="32" customWidth="1"/>
    <col min="5895" max="5895" width="10.140625" customWidth="1"/>
    <col min="5896" max="5896" width="4.5703125" customWidth="1"/>
    <col min="6145" max="6145" width="4.85546875" customWidth="1"/>
    <col min="6146" max="6146" width="8.42578125" customWidth="1"/>
    <col min="6147" max="6147" width="16.42578125" customWidth="1"/>
    <col min="6148" max="6148" width="6.7109375" customWidth="1"/>
    <col min="6149" max="6149" width="7.5703125" customWidth="1"/>
    <col min="6150" max="6150" width="32" customWidth="1"/>
    <col min="6151" max="6151" width="10.140625" customWidth="1"/>
    <col min="6152" max="6152" width="4.5703125" customWidth="1"/>
    <col min="6401" max="6401" width="4.85546875" customWidth="1"/>
    <col min="6402" max="6402" width="8.42578125" customWidth="1"/>
    <col min="6403" max="6403" width="16.42578125" customWidth="1"/>
    <col min="6404" max="6404" width="6.7109375" customWidth="1"/>
    <col min="6405" max="6405" width="7.5703125" customWidth="1"/>
    <col min="6406" max="6406" width="32" customWidth="1"/>
    <col min="6407" max="6407" width="10.140625" customWidth="1"/>
    <col min="6408" max="6408" width="4.5703125" customWidth="1"/>
    <col min="6657" max="6657" width="4.85546875" customWidth="1"/>
    <col min="6658" max="6658" width="8.42578125" customWidth="1"/>
    <col min="6659" max="6659" width="16.42578125" customWidth="1"/>
    <col min="6660" max="6660" width="6.7109375" customWidth="1"/>
    <col min="6661" max="6661" width="7.5703125" customWidth="1"/>
    <col min="6662" max="6662" width="32" customWidth="1"/>
    <col min="6663" max="6663" width="10.140625" customWidth="1"/>
    <col min="6664" max="6664" width="4.5703125" customWidth="1"/>
    <col min="6913" max="6913" width="4.85546875" customWidth="1"/>
    <col min="6914" max="6914" width="8.42578125" customWidth="1"/>
    <col min="6915" max="6915" width="16.42578125" customWidth="1"/>
    <col min="6916" max="6916" width="6.7109375" customWidth="1"/>
    <col min="6917" max="6917" width="7.5703125" customWidth="1"/>
    <col min="6918" max="6918" width="32" customWidth="1"/>
    <col min="6919" max="6919" width="10.140625" customWidth="1"/>
    <col min="6920" max="6920" width="4.5703125" customWidth="1"/>
    <col min="7169" max="7169" width="4.85546875" customWidth="1"/>
    <col min="7170" max="7170" width="8.42578125" customWidth="1"/>
    <col min="7171" max="7171" width="16.42578125" customWidth="1"/>
    <col min="7172" max="7172" width="6.7109375" customWidth="1"/>
    <col min="7173" max="7173" width="7.5703125" customWidth="1"/>
    <col min="7174" max="7174" width="32" customWidth="1"/>
    <col min="7175" max="7175" width="10.140625" customWidth="1"/>
    <col min="7176" max="7176" width="4.5703125" customWidth="1"/>
    <col min="7425" max="7425" width="4.85546875" customWidth="1"/>
    <col min="7426" max="7426" width="8.42578125" customWidth="1"/>
    <col min="7427" max="7427" width="16.42578125" customWidth="1"/>
    <col min="7428" max="7428" width="6.7109375" customWidth="1"/>
    <col min="7429" max="7429" width="7.5703125" customWidth="1"/>
    <col min="7430" max="7430" width="32" customWidth="1"/>
    <col min="7431" max="7431" width="10.140625" customWidth="1"/>
    <col min="7432" max="7432" width="4.5703125" customWidth="1"/>
    <col min="7681" max="7681" width="4.85546875" customWidth="1"/>
    <col min="7682" max="7682" width="8.42578125" customWidth="1"/>
    <col min="7683" max="7683" width="16.42578125" customWidth="1"/>
    <col min="7684" max="7684" width="6.7109375" customWidth="1"/>
    <col min="7685" max="7685" width="7.5703125" customWidth="1"/>
    <col min="7686" max="7686" width="32" customWidth="1"/>
    <col min="7687" max="7687" width="10.140625" customWidth="1"/>
    <col min="7688" max="7688" width="4.5703125" customWidth="1"/>
    <col min="7937" max="7937" width="4.85546875" customWidth="1"/>
    <col min="7938" max="7938" width="8.42578125" customWidth="1"/>
    <col min="7939" max="7939" width="16.42578125" customWidth="1"/>
    <col min="7940" max="7940" width="6.7109375" customWidth="1"/>
    <col min="7941" max="7941" width="7.5703125" customWidth="1"/>
    <col min="7942" max="7942" width="32" customWidth="1"/>
    <col min="7943" max="7943" width="10.140625" customWidth="1"/>
    <col min="7944" max="7944" width="4.5703125" customWidth="1"/>
    <col min="8193" max="8193" width="4.85546875" customWidth="1"/>
    <col min="8194" max="8194" width="8.42578125" customWidth="1"/>
    <col min="8195" max="8195" width="16.42578125" customWidth="1"/>
    <col min="8196" max="8196" width="6.7109375" customWidth="1"/>
    <col min="8197" max="8197" width="7.5703125" customWidth="1"/>
    <col min="8198" max="8198" width="32" customWidth="1"/>
    <col min="8199" max="8199" width="10.140625" customWidth="1"/>
    <col min="8200" max="8200" width="4.5703125" customWidth="1"/>
    <col min="8449" max="8449" width="4.85546875" customWidth="1"/>
    <col min="8450" max="8450" width="8.42578125" customWidth="1"/>
    <col min="8451" max="8451" width="16.42578125" customWidth="1"/>
    <col min="8452" max="8452" width="6.7109375" customWidth="1"/>
    <col min="8453" max="8453" width="7.5703125" customWidth="1"/>
    <col min="8454" max="8454" width="32" customWidth="1"/>
    <col min="8455" max="8455" width="10.140625" customWidth="1"/>
    <col min="8456" max="8456" width="4.5703125" customWidth="1"/>
    <col min="8705" max="8705" width="4.85546875" customWidth="1"/>
    <col min="8706" max="8706" width="8.42578125" customWidth="1"/>
    <col min="8707" max="8707" width="16.42578125" customWidth="1"/>
    <col min="8708" max="8708" width="6.7109375" customWidth="1"/>
    <col min="8709" max="8709" width="7.5703125" customWidth="1"/>
    <col min="8710" max="8710" width="32" customWidth="1"/>
    <col min="8711" max="8711" width="10.140625" customWidth="1"/>
    <col min="8712" max="8712" width="4.5703125" customWidth="1"/>
    <col min="8961" max="8961" width="4.85546875" customWidth="1"/>
    <col min="8962" max="8962" width="8.42578125" customWidth="1"/>
    <col min="8963" max="8963" width="16.42578125" customWidth="1"/>
    <col min="8964" max="8964" width="6.7109375" customWidth="1"/>
    <col min="8965" max="8965" width="7.5703125" customWidth="1"/>
    <col min="8966" max="8966" width="32" customWidth="1"/>
    <col min="8967" max="8967" width="10.140625" customWidth="1"/>
    <col min="8968" max="8968" width="4.5703125" customWidth="1"/>
    <col min="9217" max="9217" width="4.85546875" customWidth="1"/>
    <col min="9218" max="9218" width="8.42578125" customWidth="1"/>
    <col min="9219" max="9219" width="16.42578125" customWidth="1"/>
    <col min="9220" max="9220" width="6.7109375" customWidth="1"/>
    <col min="9221" max="9221" width="7.5703125" customWidth="1"/>
    <col min="9222" max="9222" width="32" customWidth="1"/>
    <col min="9223" max="9223" width="10.140625" customWidth="1"/>
    <col min="9224" max="9224" width="4.5703125" customWidth="1"/>
    <col min="9473" max="9473" width="4.85546875" customWidth="1"/>
    <col min="9474" max="9474" width="8.42578125" customWidth="1"/>
    <col min="9475" max="9475" width="16.42578125" customWidth="1"/>
    <col min="9476" max="9476" width="6.7109375" customWidth="1"/>
    <col min="9477" max="9477" width="7.5703125" customWidth="1"/>
    <col min="9478" max="9478" width="32" customWidth="1"/>
    <col min="9479" max="9479" width="10.140625" customWidth="1"/>
    <col min="9480" max="9480" width="4.5703125" customWidth="1"/>
    <col min="9729" max="9729" width="4.85546875" customWidth="1"/>
    <col min="9730" max="9730" width="8.42578125" customWidth="1"/>
    <col min="9731" max="9731" width="16.42578125" customWidth="1"/>
    <col min="9732" max="9732" width="6.7109375" customWidth="1"/>
    <col min="9733" max="9733" width="7.5703125" customWidth="1"/>
    <col min="9734" max="9734" width="32" customWidth="1"/>
    <col min="9735" max="9735" width="10.140625" customWidth="1"/>
    <col min="9736" max="9736" width="4.5703125" customWidth="1"/>
    <col min="9985" max="9985" width="4.85546875" customWidth="1"/>
    <col min="9986" max="9986" width="8.42578125" customWidth="1"/>
    <col min="9987" max="9987" width="16.42578125" customWidth="1"/>
    <col min="9988" max="9988" width="6.7109375" customWidth="1"/>
    <col min="9989" max="9989" width="7.5703125" customWidth="1"/>
    <col min="9990" max="9990" width="32" customWidth="1"/>
    <col min="9991" max="9991" width="10.140625" customWidth="1"/>
    <col min="9992" max="9992" width="4.5703125" customWidth="1"/>
    <col min="10241" max="10241" width="4.85546875" customWidth="1"/>
    <col min="10242" max="10242" width="8.42578125" customWidth="1"/>
    <col min="10243" max="10243" width="16.42578125" customWidth="1"/>
    <col min="10244" max="10244" width="6.7109375" customWidth="1"/>
    <col min="10245" max="10245" width="7.5703125" customWidth="1"/>
    <col min="10246" max="10246" width="32" customWidth="1"/>
    <col min="10247" max="10247" width="10.140625" customWidth="1"/>
    <col min="10248" max="10248" width="4.5703125" customWidth="1"/>
    <col min="10497" max="10497" width="4.85546875" customWidth="1"/>
    <col min="10498" max="10498" width="8.42578125" customWidth="1"/>
    <col min="10499" max="10499" width="16.42578125" customWidth="1"/>
    <col min="10500" max="10500" width="6.7109375" customWidth="1"/>
    <col min="10501" max="10501" width="7.5703125" customWidth="1"/>
    <col min="10502" max="10502" width="32" customWidth="1"/>
    <col min="10503" max="10503" width="10.140625" customWidth="1"/>
    <col min="10504" max="10504" width="4.5703125" customWidth="1"/>
    <col min="10753" max="10753" width="4.85546875" customWidth="1"/>
    <col min="10754" max="10754" width="8.42578125" customWidth="1"/>
    <col min="10755" max="10755" width="16.42578125" customWidth="1"/>
    <col min="10756" max="10756" width="6.7109375" customWidth="1"/>
    <col min="10757" max="10757" width="7.5703125" customWidth="1"/>
    <col min="10758" max="10758" width="32" customWidth="1"/>
    <col min="10759" max="10759" width="10.140625" customWidth="1"/>
    <col min="10760" max="10760" width="4.5703125" customWidth="1"/>
    <col min="11009" max="11009" width="4.85546875" customWidth="1"/>
    <col min="11010" max="11010" width="8.42578125" customWidth="1"/>
    <col min="11011" max="11011" width="16.42578125" customWidth="1"/>
    <col min="11012" max="11012" width="6.7109375" customWidth="1"/>
    <col min="11013" max="11013" width="7.5703125" customWidth="1"/>
    <col min="11014" max="11014" width="32" customWidth="1"/>
    <col min="11015" max="11015" width="10.140625" customWidth="1"/>
    <col min="11016" max="11016" width="4.5703125" customWidth="1"/>
    <col min="11265" max="11265" width="4.85546875" customWidth="1"/>
    <col min="11266" max="11266" width="8.42578125" customWidth="1"/>
    <col min="11267" max="11267" width="16.42578125" customWidth="1"/>
    <col min="11268" max="11268" width="6.7109375" customWidth="1"/>
    <col min="11269" max="11269" width="7.5703125" customWidth="1"/>
    <col min="11270" max="11270" width="32" customWidth="1"/>
    <col min="11271" max="11271" width="10.140625" customWidth="1"/>
    <col min="11272" max="11272" width="4.5703125" customWidth="1"/>
    <col min="11521" max="11521" width="4.85546875" customWidth="1"/>
    <col min="11522" max="11522" width="8.42578125" customWidth="1"/>
    <col min="11523" max="11523" width="16.42578125" customWidth="1"/>
    <col min="11524" max="11524" width="6.7109375" customWidth="1"/>
    <col min="11525" max="11525" width="7.5703125" customWidth="1"/>
    <col min="11526" max="11526" width="32" customWidth="1"/>
    <col min="11527" max="11527" width="10.140625" customWidth="1"/>
    <col min="11528" max="11528" width="4.5703125" customWidth="1"/>
    <col min="11777" max="11777" width="4.85546875" customWidth="1"/>
    <col min="11778" max="11778" width="8.42578125" customWidth="1"/>
    <col min="11779" max="11779" width="16.42578125" customWidth="1"/>
    <col min="11780" max="11780" width="6.7109375" customWidth="1"/>
    <col min="11781" max="11781" width="7.5703125" customWidth="1"/>
    <col min="11782" max="11782" width="32" customWidth="1"/>
    <col min="11783" max="11783" width="10.140625" customWidth="1"/>
    <col min="11784" max="11784" width="4.5703125" customWidth="1"/>
    <col min="12033" max="12033" width="4.85546875" customWidth="1"/>
    <col min="12034" max="12034" width="8.42578125" customWidth="1"/>
    <col min="12035" max="12035" width="16.42578125" customWidth="1"/>
    <col min="12036" max="12036" width="6.7109375" customWidth="1"/>
    <col min="12037" max="12037" width="7.5703125" customWidth="1"/>
    <col min="12038" max="12038" width="32" customWidth="1"/>
    <col min="12039" max="12039" width="10.140625" customWidth="1"/>
    <col min="12040" max="12040" width="4.5703125" customWidth="1"/>
    <col min="12289" max="12289" width="4.85546875" customWidth="1"/>
    <col min="12290" max="12290" width="8.42578125" customWidth="1"/>
    <col min="12291" max="12291" width="16.42578125" customWidth="1"/>
    <col min="12292" max="12292" width="6.7109375" customWidth="1"/>
    <col min="12293" max="12293" width="7.5703125" customWidth="1"/>
    <col min="12294" max="12294" width="32" customWidth="1"/>
    <col min="12295" max="12295" width="10.140625" customWidth="1"/>
    <col min="12296" max="12296" width="4.5703125" customWidth="1"/>
    <col min="12545" max="12545" width="4.85546875" customWidth="1"/>
    <col min="12546" max="12546" width="8.42578125" customWidth="1"/>
    <col min="12547" max="12547" width="16.42578125" customWidth="1"/>
    <col min="12548" max="12548" width="6.7109375" customWidth="1"/>
    <col min="12549" max="12549" width="7.5703125" customWidth="1"/>
    <col min="12550" max="12550" width="32" customWidth="1"/>
    <col min="12551" max="12551" width="10.140625" customWidth="1"/>
    <col min="12552" max="12552" width="4.5703125" customWidth="1"/>
    <col min="12801" max="12801" width="4.85546875" customWidth="1"/>
    <col min="12802" max="12802" width="8.42578125" customWidth="1"/>
    <col min="12803" max="12803" width="16.42578125" customWidth="1"/>
    <col min="12804" max="12804" width="6.7109375" customWidth="1"/>
    <col min="12805" max="12805" width="7.5703125" customWidth="1"/>
    <col min="12806" max="12806" width="32" customWidth="1"/>
    <col min="12807" max="12807" width="10.140625" customWidth="1"/>
    <col min="12808" max="12808" width="4.5703125" customWidth="1"/>
    <col min="13057" max="13057" width="4.85546875" customWidth="1"/>
    <col min="13058" max="13058" width="8.42578125" customWidth="1"/>
    <col min="13059" max="13059" width="16.42578125" customWidth="1"/>
    <col min="13060" max="13060" width="6.7109375" customWidth="1"/>
    <col min="13061" max="13061" width="7.5703125" customWidth="1"/>
    <col min="13062" max="13062" width="32" customWidth="1"/>
    <col min="13063" max="13063" width="10.140625" customWidth="1"/>
    <col min="13064" max="13064" width="4.5703125" customWidth="1"/>
    <col min="13313" max="13313" width="4.85546875" customWidth="1"/>
    <col min="13314" max="13314" width="8.42578125" customWidth="1"/>
    <col min="13315" max="13315" width="16.42578125" customWidth="1"/>
    <col min="13316" max="13316" width="6.7109375" customWidth="1"/>
    <col min="13317" max="13317" width="7.5703125" customWidth="1"/>
    <col min="13318" max="13318" width="32" customWidth="1"/>
    <col min="13319" max="13319" width="10.140625" customWidth="1"/>
    <col min="13320" max="13320" width="4.5703125" customWidth="1"/>
    <col min="13569" max="13569" width="4.85546875" customWidth="1"/>
    <col min="13570" max="13570" width="8.42578125" customWidth="1"/>
    <col min="13571" max="13571" width="16.42578125" customWidth="1"/>
    <col min="13572" max="13572" width="6.7109375" customWidth="1"/>
    <col min="13573" max="13573" width="7.5703125" customWidth="1"/>
    <col min="13574" max="13574" width="32" customWidth="1"/>
    <col min="13575" max="13575" width="10.140625" customWidth="1"/>
    <col min="13576" max="13576" width="4.5703125" customWidth="1"/>
    <col min="13825" max="13825" width="4.85546875" customWidth="1"/>
    <col min="13826" max="13826" width="8.42578125" customWidth="1"/>
    <col min="13827" max="13827" width="16.42578125" customWidth="1"/>
    <col min="13828" max="13828" width="6.7109375" customWidth="1"/>
    <col min="13829" max="13829" width="7.5703125" customWidth="1"/>
    <col min="13830" max="13830" width="32" customWidth="1"/>
    <col min="13831" max="13831" width="10.140625" customWidth="1"/>
    <col min="13832" max="13832" width="4.5703125" customWidth="1"/>
    <col min="14081" max="14081" width="4.85546875" customWidth="1"/>
    <col min="14082" max="14082" width="8.42578125" customWidth="1"/>
    <col min="14083" max="14083" width="16.42578125" customWidth="1"/>
    <col min="14084" max="14084" width="6.7109375" customWidth="1"/>
    <col min="14085" max="14085" width="7.5703125" customWidth="1"/>
    <col min="14086" max="14086" width="32" customWidth="1"/>
    <col min="14087" max="14087" width="10.140625" customWidth="1"/>
    <col min="14088" max="14088" width="4.5703125" customWidth="1"/>
    <col min="14337" max="14337" width="4.85546875" customWidth="1"/>
    <col min="14338" max="14338" width="8.42578125" customWidth="1"/>
    <col min="14339" max="14339" width="16.42578125" customWidth="1"/>
    <col min="14340" max="14340" width="6.7109375" customWidth="1"/>
    <col min="14341" max="14341" width="7.5703125" customWidth="1"/>
    <col min="14342" max="14342" width="32" customWidth="1"/>
    <col min="14343" max="14343" width="10.140625" customWidth="1"/>
    <col min="14344" max="14344" width="4.5703125" customWidth="1"/>
    <col min="14593" max="14593" width="4.85546875" customWidth="1"/>
    <col min="14594" max="14594" width="8.42578125" customWidth="1"/>
    <col min="14595" max="14595" width="16.42578125" customWidth="1"/>
    <col min="14596" max="14596" width="6.7109375" customWidth="1"/>
    <col min="14597" max="14597" width="7.5703125" customWidth="1"/>
    <col min="14598" max="14598" width="32" customWidth="1"/>
    <col min="14599" max="14599" width="10.140625" customWidth="1"/>
    <col min="14600" max="14600" width="4.5703125" customWidth="1"/>
    <col min="14849" max="14849" width="4.85546875" customWidth="1"/>
    <col min="14850" max="14850" width="8.42578125" customWidth="1"/>
    <col min="14851" max="14851" width="16.42578125" customWidth="1"/>
    <col min="14852" max="14852" width="6.7109375" customWidth="1"/>
    <col min="14853" max="14853" width="7.5703125" customWidth="1"/>
    <col min="14854" max="14854" width="32" customWidth="1"/>
    <col min="14855" max="14855" width="10.140625" customWidth="1"/>
    <col min="14856" max="14856" width="4.5703125" customWidth="1"/>
    <col min="15105" max="15105" width="4.85546875" customWidth="1"/>
    <col min="15106" max="15106" width="8.42578125" customWidth="1"/>
    <col min="15107" max="15107" width="16.42578125" customWidth="1"/>
    <col min="15108" max="15108" width="6.7109375" customWidth="1"/>
    <col min="15109" max="15109" width="7.5703125" customWidth="1"/>
    <col min="15110" max="15110" width="32" customWidth="1"/>
    <col min="15111" max="15111" width="10.140625" customWidth="1"/>
    <col min="15112" max="15112" width="4.5703125" customWidth="1"/>
    <col min="15361" max="15361" width="4.85546875" customWidth="1"/>
    <col min="15362" max="15362" width="8.42578125" customWidth="1"/>
    <col min="15363" max="15363" width="16.42578125" customWidth="1"/>
    <col min="15364" max="15364" width="6.7109375" customWidth="1"/>
    <col min="15365" max="15365" width="7.5703125" customWidth="1"/>
    <col min="15366" max="15366" width="32" customWidth="1"/>
    <col min="15367" max="15367" width="10.140625" customWidth="1"/>
    <col min="15368" max="15368" width="4.5703125" customWidth="1"/>
    <col min="15617" max="15617" width="4.85546875" customWidth="1"/>
    <col min="15618" max="15618" width="8.42578125" customWidth="1"/>
    <col min="15619" max="15619" width="16.42578125" customWidth="1"/>
    <col min="15620" max="15620" width="6.7109375" customWidth="1"/>
    <col min="15621" max="15621" width="7.5703125" customWidth="1"/>
    <col min="15622" max="15622" width="32" customWidth="1"/>
    <col min="15623" max="15623" width="10.140625" customWidth="1"/>
    <col min="15624" max="15624" width="4.5703125" customWidth="1"/>
    <col min="15873" max="15873" width="4.85546875" customWidth="1"/>
    <col min="15874" max="15874" width="8.42578125" customWidth="1"/>
    <col min="15875" max="15875" width="16.42578125" customWidth="1"/>
    <col min="15876" max="15876" width="6.7109375" customWidth="1"/>
    <col min="15877" max="15877" width="7.5703125" customWidth="1"/>
    <col min="15878" max="15878" width="32" customWidth="1"/>
    <col min="15879" max="15879" width="10.140625" customWidth="1"/>
    <col min="15880" max="15880" width="4.5703125" customWidth="1"/>
    <col min="16129" max="16129" width="4.85546875" customWidth="1"/>
    <col min="16130" max="16130" width="8.42578125" customWidth="1"/>
    <col min="16131" max="16131" width="16.42578125" customWidth="1"/>
    <col min="16132" max="16132" width="6.7109375" customWidth="1"/>
    <col min="16133" max="16133" width="7.5703125" customWidth="1"/>
    <col min="16134" max="16134" width="32" customWidth="1"/>
    <col min="16135" max="16135" width="10.140625" customWidth="1"/>
    <col min="16136" max="16136" width="4.5703125" customWidth="1"/>
  </cols>
  <sheetData>
    <row r="1" spans="1:8" x14ac:dyDescent="0.2">
      <c r="A1" s="288"/>
      <c r="B1" s="288"/>
      <c r="C1" s="288"/>
      <c r="D1" s="288"/>
      <c r="E1" s="288"/>
      <c r="F1" s="288"/>
      <c r="G1" s="288"/>
      <c r="H1" s="288"/>
    </row>
    <row r="2" spans="1:8" x14ac:dyDescent="0.2">
      <c r="A2" s="288"/>
      <c r="B2" s="288"/>
      <c r="C2" s="288"/>
      <c r="D2" s="288"/>
      <c r="E2" s="288"/>
      <c r="F2" s="288"/>
      <c r="G2" s="288"/>
      <c r="H2" s="288"/>
    </row>
    <row r="3" spans="1:8" ht="18" x14ac:dyDescent="0.25">
      <c r="A3" s="288"/>
      <c r="B3" s="370" t="s">
        <v>168</v>
      </c>
      <c r="C3" s="370"/>
      <c r="D3" s="370"/>
      <c r="E3" s="370"/>
      <c r="F3" s="370"/>
      <c r="G3" s="370"/>
      <c r="H3" s="288"/>
    </row>
    <row r="4" spans="1:8" ht="31.5" customHeight="1" x14ac:dyDescent="0.2">
      <c r="A4" s="288"/>
      <c r="B4" s="288"/>
      <c r="C4" s="288"/>
      <c r="D4" s="288"/>
      <c r="E4" s="288"/>
      <c r="F4" s="288"/>
      <c r="G4" s="288"/>
      <c r="H4" s="288"/>
    </row>
    <row r="5" spans="1:8" s="164" customFormat="1" ht="20.25" customHeight="1" x14ac:dyDescent="0.25">
      <c r="A5" s="288"/>
      <c r="B5" s="371" t="s">
        <v>169</v>
      </c>
      <c r="C5" s="371"/>
      <c r="D5" s="371"/>
      <c r="E5" s="371"/>
      <c r="F5" s="371"/>
      <c r="G5" s="371"/>
      <c r="H5" s="288"/>
    </row>
    <row r="6" spans="1:8" s="164" customFormat="1" ht="10.5" customHeight="1" x14ac:dyDescent="0.2">
      <c r="A6" s="288"/>
      <c r="B6" s="372"/>
      <c r="C6" s="372"/>
      <c r="D6" s="372"/>
      <c r="E6" s="372"/>
      <c r="F6" s="372"/>
      <c r="G6" s="372"/>
      <c r="H6" s="288"/>
    </row>
    <row r="7" spans="1:8" ht="16.5" customHeight="1" x14ac:dyDescent="0.2">
      <c r="A7" s="288"/>
      <c r="B7" s="373" t="s">
        <v>177</v>
      </c>
      <c r="C7" s="365"/>
      <c r="D7" s="365"/>
      <c r="E7" s="365"/>
      <c r="F7" s="365"/>
      <c r="G7" s="365"/>
      <c r="H7" s="288"/>
    </row>
    <row r="8" spans="1:8" ht="9" customHeight="1" x14ac:dyDescent="0.2">
      <c r="A8" s="288"/>
      <c r="B8" s="288"/>
      <c r="C8" s="288"/>
      <c r="D8" s="288"/>
      <c r="E8" s="288"/>
      <c r="F8" s="288"/>
      <c r="G8" s="288"/>
      <c r="H8" s="288"/>
    </row>
    <row r="9" spans="1:8" ht="16.5" customHeight="1" x14ac:dyDescent="0.2">
      <c r="A9" s="288"/>
      <c r="B9" s="373" t="s">
        <v>178</v>
      </c>
      <c r="C9" s="365"/>
      <c r="D9" s="365"/>
      <c r="E9" s="365"/>
      <c r="F9" s="365"/>
      <c r="G9" s="365"/>
      <c r="H9" s="288"/>
    </row>
    <row r="10" spans="1:8" ht="9" customHeight="1" x14ac:dyDescent="0.2">
      <c r="A10" s="288"/>
      <c r="B10" s="288"/>
      <c r="C10" s="288"/>
      <c r="D10" s="288"/>
      <c r="E10" s="288"/>
      <c r="F10" s="288"/>
      <c r="G10" s="288"/>
      <c r="H10" s="288"/>
    </row>
    <row r="11" spans="1:8" ht="30" customHeight="1" x14ac:dyDescent="0.2">
      <c r="A11" s="288"/>
      <c r="B11" s="305" t="s">
        <v>179</v>
      </c>
      <c r="C11" s="364"/>
      <c r="D11" s="364"/>
      <c r="E11" s="364"/>
      <c r="F11" s="364"/>
      <c r="G11" s="364"/>
      <c r="H11" s="288"/>
    </row>
    <row r="12" spans="1:8" x14ac:dyDescent="0.2">
      <c r="A12" s="288"/>
      <c r="B12" s="364" t="s">
        <v>170</v>
      </c>
      <c r="C12" s="364"/>
      <c r="D12" s="364"/>
      <c r="E12" s="364"/>
      <c r="F12" s="364"/>
      <c r="G12" s="364"/>
      <c r="H12" s="288"/>
    </row>
    <row r="13" spans="1:8" ht="9" customHeight="1" x14ac:dyDescent="0.2">
      <c r="A13" s="288"/>
      <c r="B13" s="288"/>
      <c r="C13" s="288"/>
      <c r="D13" s="288"/>
      <c r="E13" s="288"/>
      <c r="F13" s="288"/>
      <c r="G13" s="288"/>
      <c r="H13" s="288"/>
    </row>
    <row r="14" spans="1:8" ht="28.5" customHeight="1" x14ac:dyDescent="0.2">
      <c r="A14" s="288"/>
      <c r="B14" s="305" t="s">
        <v>180</v>
      </c>
      <c r="C14" s="364"/>
      <c r="D14" s="364"/>
      <c r="E14" s="364"/>
      <c r="F14" s="364"/>
      <c r="G14" s="364"/>
      <c r="H14" s="288"/>
    </row>
    <row r="15" spans="1:8" ht="12.75" customHeight="1" x14ac:dyDescent="0.2">
      <c r="A15" s="288"/>
      <c r="B15" s="364" t="s">
        <v>181</v>
      </c>
      <c r="C15" s="364"/>
      <c r="D15" s="364"/>
      <c r="E15" s="364"/>
      <c r="F15" s="364"/>
      <c r="G15" s="364"/>
      <c r="H15" s="288"/>
    </row>
    <row r="16" spans="1:8" ht="9" customHeight="1" x14ac:dyDescent="0.2">
      <c r="A16" s="288"/>
      <c r="B16" s="288"/>
      <c r="C16" s="288"/>
      <c r="D16" s="288"/>
      <c r="E16" s="288"/>
      <c r="F16" s="288"/>
      <c r="G16" s="288"/>
      <c r="H16" s="288"/>
    </row>
    <row r="17" spans="1:8" ht="29.25" customHeight="1" x14ac:dyDescent="0.2">
      <c r="A17" s="288"/>
      <c r="B17" s="305" t="s">
        <v>182</v>
      </c>
      <c r="C17" s="364"/>
      <c r="D17" s="364"/>
      <c r="E17" s="364"/>
      <c r="F17" s="364"/>
      <c r="G17" s="364"/>
      <c r="H17" s="288"/>
    </row>
    <row r="18" spans="1:8" ht="13.5" customHeight="1" x14ac:dyDescent="0.2">
      <c r="A18" s="288"/>
      <c r="B18" s="365" t="s">
        <v>183</v>
      </c>
      <c r="C18" s="365"/>
      <c r="D18" s="365"/>
      <c r="E18" s="365"/>
      <c r="F18" s="365"/>
      <c r="G18" s="365"/>
      <c r="H18" s="288"/>
    </row>
    <row r="19" spans="1:8" ht="19.5" customHeight="1" thickBot="1" x14ac:dyDescent="0.25">
      <c r="A19" s="288"/>
      <c r="B19" s="288"/>
      <c r="C19" s="288"/>
      <c r="D19" s="288"/>
      <c r="E19" s="288"/>
      <c r="F19" s="288"/>
      <c r="G19" s="288"/>
      <c r="H19" s="288"/>
    </row>
    <row r="20" spans="1:8" ht="5.25" customHeight="1" x14ac:dyDescent="0.2">
      <c r="A20" s="288"/>
      <c r="B20" s="165"/>
      <c r="C20" s="166"/>
      <c r="D20" s="166"/>
      <c r="E20" s="166"/>
      <c r="F20" s="166"/>
      <c r="G20" s="167"/>
      <c r="H20" s="288"/>
    </row>
    <row r="21" spans="1:8" ht="15.75" thickBot="1" x14ac:dyDescent="0.3">
      <c r="A21" s="288"/>
      <c r="B21" s="168"/>
      <c r="C21" s="169" t="s">
        <v>184</v>
      </c>
      <c r="F21" s="169" t="s">
        <v>171</v>
      </c>
      <c r="G21" s="170"/>
      <c r="H21" s="288"/>
    </row>
    <row r="22" spans="1:8" ht="15" thickBot="1" x14ac:dyDescent="0.25">
      <c r="A22" s="288"/>
      <c r="B22" s="168"/>
      <c r="C22" s="171">
        <v>5820</v>
      </c>
      <c r="D22" s="172"/>
      <c r="E22" s="173"/>
      <c r="F22" s="174">
        <f>IF(C22=0,0,IF(C22&lt;=2000,500,IF(C22&gt;2001,(C22-1000)*2+1000)*0.2))</f>
        <v>2128</v>
      </c>
      <c r="G22" s="175" t="s">
        <v>172</v>
      </c>
      <c r="H22" s="288"/>
    </row>
    <row r="23" spans="1:8" ht="14.25" x14ac:dyDescent="0.2">
      <c r="A23" s="288"/>
      <c r="B23" s="168"/>
      <c r="C23" s="172"/>
      <c r="D23" s="172"/>
      <c r="E23" s="172"/>
      <c r="F23" s="172" t="s">
        <v>173</v>
      </c>
      <c r="G23" s="175"/>
      <c r="H23" s="288"/>
    </row>
    <row r="24" spans="1:8" ht="26.25" customHeight="1" x14ac:dyDescent="0.25">
      <c r="A24" s="288"/>
      <c r="B24" s="168"/>
      <c r="C24" s="172"/>
      <c r="D24" s="172"/>
      <c r="E24" s="172"/>
      <c r="F24" s="176" t="s">
        <v>174</v>
      </c>
      <c r="G24" s="175"/>
      <c r="H24" s="288"/>
    </row>
    <row r="25" spans="1:8" ht="18" customHeight="1" thickBot="1" x14ac:dyDescent="0.25">
      <c r="A25" s="288"/>
      <c r="B25" s="168"/>
      <c r="C25" s="172"/>
      <c r="D25" s="172"/>
      <c r="E25" s="172"/>
      <c r="F25" s="174">
        <f>IF(F22&lt;=500,0, IF(C22&lt;=500000,(F22*80%),IF(C22&lt;=1000000,(F22*85%),IF(C22&lt;12000000,(F22*90%)))))</f>
        <v>1702.4</v>
      </c>
      <c r="G25" s="175"/>
      <c r="H25" s="288"/>
    </row>
    <row r="26" spans="1:8" ht="27" customHeight="1" thickTop="1" x14ac:dyDescent="0.25">
      <c r="A26" s="288"/>
      <c r="B26" s="168"/>
      <c r="C26" s="172"/>
      <c r="D26" s="172"/>
      <c r="E26" s="172"/>
      <c r="F26" s="367" t="s">
        <v>175</v>
      </c>
      <c r="G26" s="368"/>
      <c r="H26" s="288"/>
    </row>
    <row r="27" spans="1:8" ht="15" thickBot="1" x14ac:dyDescent="0.25">
      <c r="A27" s="288"/>
      <c r="B27" s="168"/>
      <c r="C27" s="172"/>
      <c r="D27" s="172"/>
      <c r="E27" s="172"/>
      <c r="F27" s="174">
        <f>IF(C22=0,0,IF(F22&lt;=500,500,IF(C22&lt;=500000,(F22*20%),IF(C22&lt;=1000000,(F22*15%),IF(C22&lt;12000000,(F22*10%))))))</f>
        <v>425.6</v>
      </c>
      <c r="G27" s="175"/>
      <c r="H27" s="288"/>
    </row>
    <row r="28" spans="1:8" ht="11.25" customHeight="1" thickTop="1" thickBot="1" x14ac:dyDescent="0.25">
      <c r="A28" s="288"/>
      <c r="B28" s="177"/>
      <c r="C28" s="178"/>
      <c r="D28" s="179"/>
      <c r="E28" s="178"/>
      <c r="F28" s="180"/>
      <c r="G28" s="106"/>
      <c r="H28" s="288"/>
    </row>
    <row r="29" spans="1:8" ht="33" customHeight="1" x14ac:dyDescent="0.25">
      <c r="A29" s="288"/>
      <c r="B29" s="369"/>
      <c r="C29" s="369"/>
      <c r="D29" s="369"/>
      <c r="E29" s="369"/>
      <c r="F29" s="369"/>
      <c r="G29" s="369"/>
      <c r="H29" s="288"/>
    </row>
    <row r="30" spans="1:8" ht="15.75" x14ac:dyDescent="0.25">
      <c r="A30" s="288"/>
      <c r="B30" s="366" t="s">
        <v>176</v>
      </c>
      <c r="C30" s="366"/>
      <c r="D30" s="366"/>
      <c r="E30" s="366"/>
      <c r="F30" s="366"/>
      <c r="G30" s="366"/>
      <c r="H30" s="288"/>
    </row>
    <row r="31" spans="1:8" ht="15.75" customHeight="1" x14ac:dyDescent="0.2">
      <c r="A31" s="288"/>
      <c r="B31" s="366"/>
      <c r="C31" s="366"/>
      <c r="D31" s="366"/>
      <c r="E31" s="366"/>
      <c r="F31" s="366"/>
      <c r="G31" s="366"/>
      <c r="H31" s="288"/>
    </row>
    <row r="32" spans="1:8" ht="15.75" customHeight="1" x14ac:dyDescent="0.2">
      <c r="A32" s="288"/>
      <c r="B32" s="366"/>
      <c r="C32" s="366"/>
      <c r="D32" s="366"/>
      <c r="E32" s="366"/>
      <c r="F32" s="366"/>
      <c r="G32" s="366"/>
      <c r="H32" s="288"/>
    </row>
    <row r="33" spans="1:8" ht="15.75" customHeight="1" x14ac:dyDescent="0.2">
      <c r="A33" s="288"/>
      <c r="B33" s="366"/>
      <c r="C33" s="366"/>
      <c r="D33" s="366"/>
      <c r="E33" s="366"/>
      <c r="F33" s="366"/>
      <c r="G33" s="366"/>
      <c r="H33" s="288"/>
    </row>
    <row r="34" spans="1:8" ht="15.75" customHeight="1" x14ac:dyDescent="0.2">
      <c r="A34" s="288"/>
      <c r="B34" s="366"/>
      <c r="C34" s="366"/>
      <c r="D34" s="366"/>
      <c r="E34" s="366"/>
      <c r="F34" s="366"/>
      <c r="G34" s="366"/>
      <c r="H34" s="288"/>
    </row>
    <row r="35" spans="1:8" x14ac:dyDescent="0.2">
      <c r="A35" s="288"/>
      <c r="B35" s="366"/>
      <c r="C35" s="366"/>
      <c r="D35" s="366"/>
      <c r="E35" s="366"/>
      <c r="F35" s="366"/>
      <c r="G35" s="366"/>
      <c r="H35" s="288"/>
    </row>
    <row r="36" spans="1:8" x14ac:dyDescent="0.2">
      <c r="A36" s="288"/>
      <c r="B36" s="366"/>
      <c r="C36" s="366"/>
      <c r="D36" s="366"/>
      <c r="E36" s="366"/>
      <c r="F36" s="366"/>
      <c r="G36" s="366"/>
      <c r="H36" s="288"/>
    </row>
    <row r="37" spans="1:8" ht="33" customHeight="1" x14ac:dyDescent="0.2">
      <c r="A37" s="288"/>
      <c r="B37" s="366"/>
      <c r="C37" s="366"/>
      <c r="D37" s="366"/>
      <c r="E37" s="366"/>
      <c r="F37" s="366"/>
      <c r="G37" s="366"/>
      <c r="H37" s="288"/>
    </row>
    <row r="38" spans="1:8" ht="39" customHeight="1" x14ac:dyDescent="0.2">
      <c r="C38" s="364"/>
      <c r="D38" s="364"/>
      <c r="E38" s="364"/>
      <c r="F38" s="364"/>
      <c r="G38" s="364"/>
    </row>
    <row r="39" spans="1:8" ht="26.25" customHeight="1" x14ac:dyDescent="0.2">
      <c r="C39" s="364"/>
      <c r="D39" s="364"/>
      <c r="E39" s="364"/>
      <c r="F39" s="364"/>
      <c r="G39" s="364"/>
    </row>
    <row r="40" spans="1:8" ht="39.75" customHeight="1" x14ac:dyDescent="0.2">
      <c r="C40" s="364"/>
      <c r="D40" s="364"/>
      <c r="E40" s="364"/>
      <c r="F40" s="364"/>
      <c r="G40" s="364"/>
    </row>
    <row r="41" spans="1:8" ht="12.75" customHeight="1" x14ac:dyDescent="0.2">
      <c r="C41" s="364"/>
      <c r="D41" s="364"/>
      <c r="E41" s="364"/>
      <c r="F41" s="364"/>
      <c r="G41" s="364"/>
    </row>
    <row r="42" spans="1:8" ht="39.950000000000003" customHeight="1" x14ac:dyDescent="0.2">
      <c r="C42" s="364"/>
      <c r="D42" s="364"/>
      <c r="E42" s="364"/>
      <c r="F42" s="364"/>
      <c r="G42" s="364"/>
    </row>
    <row r="43" spans="1:8" x14ac:dyDescent="0.2">
      <c r="C43" s="365"/>
      <c r="D43" s="365"/>
      <c r="E43" s="365"/>
      <c r="F43" s="365"/>
      <c r="G43" s="365"/>
    </row>
  </sheetData>
  <sheetProtection password="C4EC" sheet="1" objects="1" scenarios="1" selectLockedCells="1"/>
  <mergeCells count="30">
    <mergeCell ref="A1:A37"/>
    <mergeCell ref="B1:G2"/>
    <mergeCell ref="H1:H37"/>
    <mergeCell ref="B3:G3"/>
    <mergeCell ref="B4:G4"/>
    <mergeCell ref="B5:G5"/>
    <mergeCell ref="B6:G6"/>
    <mergeCell ref="B7:G7"/>
    <mergeCell ref="B8:G8"/>
    <mergeCell ref="B9:G9"/>
    <mergeCell ref="B29:G29"/>
    <mergeCell ref="B10:G10"/>
    <mergeCell ref="B11:G11"/>
    <mergeCell ref="B12:G12"/>
    <mergeCell ref="B13:G13"/>
    <mergeCell ref="B14:G14"/>
    <mergeCell ref="B15:G15"/>
    <mergeCell ref="B16:G16"/>
    <mergeCell ref="B17:G17"/>
    <mergeCell ref="B18:G18"/>
    <mergeCell ref="B19:G19"/>
    <mergeCell ref="F26:G26"/>
    <mergeCell ref="C42:G42"/>
    <mergeCell ref="C43:G43"/>
    <mergeCell ref="B30:G30"/>
    <mergeCell ref="B31:G37"/>
    <mergeCell ref="C38:G38"/>
    <mergeCell ref="C39:G39"/>
    <mergeCell ref="C40:G40"/>
    <mergeCell ref="C41:G41"/>
  </mergeCells>
  <pageMargins left="0.75" right="0.75" top="1" bottom="1" header="0.5" footer="0.5"/>
  <pageSetup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H16"/>
  <sheetViews>
    <sheetView workbookViewId="0">
      <selection activeCell="G11" sqref="G11"/>
    </sheetView>
  </sheetViews>
  <sheetFormatPr defaultRowHeight="12.75" x14ac:dyDescent="0.2"/>
  <cols>
    <col min="1" max="1" width="21.140625" customWidth="1"/>
    <col min="2" max="2" width="69.85546875" style="1" customWidth="1"/>
  </cols>
  <sheetData>
    <row r="1" spans="1:8" ht="13.5" thickBot="1" x14ac:dyDescent="0.25"/>
    <row r="2" spans="1:8" ht="35.25" customHeight="1" thickBot="1" x14ac:dyDescent="0.25">
      <c r="A2" s="110" t="s">
        <v>124</v>
      </c>
      <c r="B2" s="109" t="s">
        <v>125</v>
      </c>
    </row>
    <row r="4" spans="1:8" ht="12.75" customHeight="1" x14ac:dyDescent="0.2">
      <c r="A4" s="148" t="s">
        <v>126</v>
      </c>
      <c r="B4" s="148"/>
      <c r="C4" s="146"/>
      <c r="D4" s="146"/>
      <c r="E4" s="146"/>
      <c r="F4" s="146"/>
      <c r="G4" s="146"/>
      <c r="H4" s="146"/>
    </row>
    <row r="5" spans="1:8" ht="138.75" customHeight="1" x14ac:dyDescent="0.2">
      <c r="A5" s="375" t="s">
        <v>127</v>
      </c>
      <c r="B5" s="375"/>
      <c r="C5" s="146"/>
      <c r="D5" s="146"/>
      <c r="E5" s="146"/>
      <c r="F5" s="146"/>
      <c r="G5" s="146"/>
      <c r="H5" s="146"/>
    </row>
    <row r="6" spans="1:8" ht="32.25" customHeight="1" x14ac:dyDescent="0.2">
      <c r="A6" s="375" t="s">
        <v>128</v>
      </c>
      <c r="B6" s="375"/>
      <c r="C6" s="146"/>
      <c r="D6" s="163" t="s">
        <v>167</v>
      </c>
      <c r="E6" s="146"/>
      <c r="F6" s="146"/>
      <c r="G6" s="146"/>
      <c r="H6" s="146"/>
    </row>
    <row r="7" spans="1:8" ht="71.25" customHeight="1" x14ac:dyDescent="0.2">
      <c r="A7" s="374" t="s">
        <v>129</v>
      </c>
      <c r="B7" s="374"/>
      <c r="C7" s="5"/>
      <c r="D7" s="5"/>
      <c r="E7" s="5"/>
      <c r="F7" s="5"/>
      <c r="G7" s="5"/>
      <c r="H7" s="5"/>
    </row>
    <row r="9" spans="1:8" x14ac:dyDescent="0.2">
      <c r="A9" s="3" t="s">
        <v>130</v>
      </c>
      <c r="B9" s="147" t="s">
        <v>131</v>
      </c>
    </row>
    <row r="10" spans="1:8" ht="18" customHeight="1" x14ac:dyDescent="0.2">
      <c r="B10" s="147" t="s">
        <v>132</v>
      </c>
    </row>
    <row r="11" spans="1:8" ht="18.75" customHeight="1" x14ac:dyDescent="0.2">
      <c r="B11" s="147" t="s">
        <v>133</v>
      </c>
    </row>
    <row r="12" spans="1:8" ht="30.75" customHeight="1" x14ac:dyDescent="0.2">
      <c r="B12" s="147" t="s">
        <v>134</v>
      </c>
    </row>
    <row r="13" spans="1:8" ht="18" customHeight="1" x14ac:dyDescent="0.2">
      <c r="B13" s="147" t="s">
        <v>135</v>
      </c>
    </row>
    <row r="14" spans="1:8" ht="32.25" customHeight="1" x14ac:dyDescent="0.2">
      <c r="B14" s="147" t="s">
        <v>136</v>
      </c>
    </row>
    <row r="15" spans="1:8" ht="57.75" customHeight="1" x14ac:dyDescent="0.2">
      <c r="B15" s="147" t="s">
        <v>137</v>
      </c>
    </row>
    <row r="16" spans="1:8" ht="106.5" customHeight="1" x14ac:dyDescent="0.2">
      <c r="B16" s="147" t="s">
        <v>138</v>
      </c>
    </row>
  </sheetData>
  <mergeCells count="3">
    <mergeCell ref="A7:B7"/>
    <mergeCell ref="A5:B5"/>
    <mergeCell ref="A6:B6"/>
  </mergeCells>
  <phoneticPr fontId="3" type="noConversion"/>
  <hyperlinks>
    <hyperlink ref="D6" r:id="rId1" location=":~:text=The%20Mitigation%20Fee%20is%20%24500,is%20%24250%20per%20residential%20unit." xr:uid="{5D94A356-321B-4857-95BB-8595009BE96C}"/>
  </hyperlinks>
  <pageMargins left="0.5" right="0.5" top="0.75" bottom="0.75" header="0.5" footer="0.5"/>
  <pageSetup orientation="portrait" verticalDpi="0"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47"/>
  <sheetViews>
    <sheetView workbookViewId="0">
      <selection activeCell="W19" sqref="W19"/>
    </sheetView>
  </sheetViews>
  <sheetFormatPr defaultRowHeight="12.75" x14ac:dyDescent="0.2"/>
  <sheetData>
    <row r="47" spans="1:1" x14ac:dyDescent="0.2">
      <c r="A47" s="163" t="s">
        <v>162</v>
      </c>
    </row>
  </sheetData>
  <phoneticPr fontId="3" type="noConversion"/>
  <hyperlinks>
    <hyperlink ref="A47" r:id="rId1" display="https://gisopendata-countyofriverside.opendata.arcgis.com/datasets/9735ca2c063645ff80ae3d7240b6d8c8_400/explore?location=33.765324%2C-117.168548%2C11.00" xr:uid="{20888C28-FAED-4FE0-B5C9-B8E5E8F924A9}"/>
  </hyperlinks>
  <pageMargins left="0.75" right="0.75" top="1" bottom="1" header="0.5" footer="0.5"/>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A11"/>
  <sheetViews>
    <sheetView workbookViewId="0">
      <selection activeCell="F10" sqref="F10"/>
    </sheetView>
  </sheetViews>
  <sheetFormatPr defaultRowHeight="12.75" x14ac:dyDescent="0.2"/>
  <cols>
    <col min="1" max="1" width="118.5703125" style="1" customWidth="1"/>
  </cols>
  <sheetData>
    <row r="2" spans="1:1" ht="15" x14ac:dyDescent="0.25">
      <c r="A2" s="129" t="s">
        <v>139</v>
      </c>
    </row>
    <row r="3" spans="1:1" ht="42.75" x14ac:dyDescent="0.2">
      <c r="A3" s="130" t="s">
        <v>140</v>
      </c>
    </row>
    <row r="4" spans="1:1" ht="14.25" x14ac:dyDescent="0.2">
      <c r="A4" s="131"/>
    </row>
    <row r="5" spans="1:1" ht="29.25" x14ac:dyDescent="0.25">
      <c r="A5" s="132" t="s">
        <v>141</v>
      </c>
    </row>
    <row r="6" spans="1:1" ht="14.25" x14ac:dyDescent="0.2">
      <c r="A6" s="136" t="s">
        <v>142</v>
      </c>
    </row>
    <row r="7" spans="1:1" ht="28.5" x14ac:dyDescent="0.2">
      <c r="A7" s="136" t="s">
        <v>143</v>
      </c>
    </row>
    <row r="8" spans="1:1" ht="15" x14ac:dyDescent="0.25">
      <c r="A8" s="133"/>
    </row>
    <row r="9" spans="1:1" ht="18" customHeight="1" x14ac:dyDescent="0.25">
      <c r="A9" s="134" t="s">
        <v>144</v>
      </c>
    </row>
    <row r="10" spans="1:1" ht="154.5" customHeight="1" x14ac:dyDescent="0.2">
      <c r="A10" s="132" t="s">
        <v>145</v>
      </c>
    </row>
    <row r="11" spans="1:1" ht="15.75" x14ac:dyDescent="0.25">
      <c r="A11" s="135"/>
    </row>
  </sheetData>
  <phoneticPr fontId="3" type="noConversion"/>
  <hyperlinks>
    <hyperlink ref="A3" location="109" display="109" xr:uid="{00000000-0004-0000-0400-000000000000}"/>
  </hyperlinks>
  <pageMargins left="0.75" right="0.75" top="1" bottom="1" header="0.5" footer="0.5"/>
  <pageSetup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D58"/>
  <sheetViews>
    <sheetView workbookViewId="0">
      <selection activeCell="L8" sqref="L8"/>
    </sheetView>
  </sheetViews>
  <sheetFormatPr defaultRowHeight="12.75" x14ac:dyDescent="0.2"/>
  <cols>
    <col min="1" max="1" width="14.85546875" customWidth="1"/>
    <col min="2" max="2" width="31.140625" customWidth="1"/>
    <col min="3" max="3" width="23.140625" customWidth="1"/>
    <col min="4" max="4" width="9.7109375" bestFit="1" customWidth="1"/>
  </cols>
  <sheetData>
    <row r="1" spans="1:4" ht="12.75" customHeight="1" x14ac:dyDescent="0.2">
      <c r="A1" s="376"/>
      <c r="B1" s="376"/>
      <c r="C1" s="376"/>
      <c r="D1" s="376"/>
    </row>
    <row r="2" spans="1:4" x14ac:dyDescent="0.2">
      <c r="A2" s="156"/>
      <c r="B2" s="376"/>
      <c r="C2" s="376"/>
      <c r="D2" s="156"/>
    </row>
    <row r="3" spans="1:4" x14ac:dyDescent="0.2">
      <c r="A3" s="156"/>
      <c r="B3" s="376"/>
      <c r="C3" s="376"/>
      <c r="D3" s="156"/>
    </row>
    <row r="4" spans="1:4" x14ac:dyDescent="0.2">
      <c r="A4" s="156"/>
      <c r="B4" s="156"/>
      <c r="C4" s="156"/>
      <c r="D4" s="156"/>
    </row>
    <row r="5" spans="1:4" x14ac:dyDescent="0.2">
      <c r="A5" s="156"/>
      <c r="B5" s="156"/>
      <c r="C5" s="156"/>
      <c r="D5" s="156"/>
    </row>
    <row r="6" spans="1:4" x14ac:dyDescent="0.2">
      <c r="A6" s="156"/>
      <c r="B6" s="156"/>
      <c r="C6" s="156"/>
      <c r="D6" s="156"/>
    </row>
    <row r="7" spans="1:4" x14ac:dyDescent="0.2">
      <c r="A7" s="156"/>
      <c r="B7" s="156"/>
      <c r="C7" s="156"/>
      <c r="D7" s="156"/>
    </row>
    <row r="8" spans="1:4" x14ac:dyDescent="0.2">
      <c r="A8" s="156"/>
      <c r="B8" s="156"/>
      <c r="C8" s="156"/>
      <c r="D8" s="156"/>
    </row>
    <row r="9" spans="1:4" x14ac:dyDescent="0.2">
      <c r="A9" s="156"/>
      <c r="B9" s="156"/>
      <c r="C9" s="156"/>
      <c r="D9" s="156"/>
    </row>
    <row r="10" spans="1:4" x14ac:dyDescent="0.2">
      <c r="A10" s="156"/>
      <c r="B10" s="156"/>
      <c r="C10" s="156"/>
      <c r="D10" s="156"/>
    </row>
    <row r="11" spans="1:4" ht="13.5" customHeight="1" x14ac:dyDescent="0.2">
      <c r="A11" s="156"/>
      <c r="B11" s="156"/>
      <c r="C11" s="156"/>
      <c r="D11" s="156"/>
    </row>
    <row r="12" spans="1:4" x14ac:dyDescent="0.2">
      <c r="A12" s="156"/>
      <c r="B12" s="156"/>
      <c r="C12" s="156"/>
      <c r="D12" s="156"/>
    </row>
    <row r="13" spans="1:4" x14ac:dyDescent="0.2">
      <c r="A13" s="156"/>
      <c r="B13" s="156"/>
      <c r="C13" s="156"/>
      <c r="D13" s="156"/>
    </row>
    <row r="14" spans="1:4" x14ac:dyDescent="0.2">
      <c r="A14" s="156"/>
      <c r="B14" s="156"/>
      <c r="C14" s="156"/>
      <c r="D14" s="156"/>
    </row>
    <row r="15" spans="1:4" x14ac:dyDescent="0.2">
      <c r="A15" s="156"/>
      <c r="B15" s="156"/>
      <c r="C15" s="156"/>
      <c r="D15" s="156"/>
    </row>
    <row r="16" spans="1:4" ht="12.75" customHeight="1" x14ac:dyDescent="0.2">
      <c r="A16" s="156"/>
      <c r="B16" s="156"/>
      <c r="C16" s="156"/>
      <c r="D16" s="156"/>
    </row>
    <row r="17" spans="1:4" ht="12.75" customHeight="1" x14ac:dyDescent="0.2">
      <c r="A17" s="156"/>
      <c r="B17" s="156"/>
      <c r="C17" s="156"/>
      <c r="D17" s="156"/>
    </row>
    <row r="18" spans="1:4" x14ac:dyDescent="0.2">
      <c r="A18" s="156"/>
      <c r="B18" s="156"/>
      <c r="C18" s="156"/>
      <c r="D18" s="156"/>
    </row>
    <row r="19" spans="1:4" x14ac:dyDescent="0.2">
      <c r="A19" s="156"/>
      <c r="B19" s="156"/>
      <c r="C19" s="156"/>
      <c r="D19" s="156"/>
    </row>
    <row r="20" spans="1:4" ht="13.5" customHeight="1" x14ac:dyDescent="0.2">
      <c r="A20" s="156"/>
      <c r="B20" s="156"/>
      <c r="C20" s="156"/>
      <c r="D20" s="156"/>
    </row>
    <row r="21" spans="1:4" ht="16.5" customHeight="1" x14ac:dyDescent="0.2">
      <c r="A21" s="156"/>
      <c r="B21" s="156"/>
      <c r="C21" s="156"/>
      <c r="D21" s="156"/>
    </row>
    <row r="22" spans="1:4" ht="16.5" customHeight="1" x14ac:dyDescent="0.2">
      <c r="A22" s="156"/>
      <c r="B22" s="156"/>
      <c r="C22" s="156"/>
      <c r="D22" s="156"/>
    </row>
    <row r="23" spans="1:4" ht="16.5" customHeight="1" x14ac:dyDescent="0.2">
      <c r="A23" s="156"/>
      <c r="B23" s="156"/>
      <c r="C23" s="156"/>
      <c r="D23" s="156"/>
    </row>
    <row r="24" spans="1:4" x14ac:dyDescent="0.2">
      <c r="A24" s="156"/>
      <c r="B24" s="156"/>
      <c r="C24" s="156"/>
      <c r="D24" s="156"/>
    </row>
    <row r="25" spans="1:4" x14ac:dyDescent="0.2">
      <c r="A25" s="156"/>
      <c r="B25" s="156"/>
      <c r="C25" s="156"/>
      <c r="D25" s="156"/>
    </row>
    <row r="26" spans="1:4" x14ac:dyDescent="0.2">
      <c r="A26" s="156"/>
      <c r="B26" s="156"/>
      <c r="C26" s="156"/>
      <c r="D26" s="156"/>
    </row>
    <row r="27" spans="1:4" x14ac:dyDescent="0.2">
      <c r="A27" s="156"/>
      <c r="B27" s="156"/>
      <c r="C27" s="156"/>
      <c r="D27" s="156"/>
    </row>
    <row r="28" spans="1:4" x14ac:dyDescent="0.2">
      <c r="A28" s="156"/>
      <c r="B28" s="156"/>
      <c r="C28" s="156"/>
      <c r="D28" s="156"/>
    </row>
    <row r="29" spans="1:4" x14ac:dyDescent="0.2">
      <c r="A29" s="156"/>
      <c r="B29" s="156"/>
      <c r="C29" s="156"/>
      <c r="D29" s="156"/>
    </row>
    <row r="30" spans="1:4" x14ac:dyDescent="0.2">
      <c r="A30" s="156"/>
      <c r="B30" s="156"/>
      <c r="C30" s="156"/>
      <c r="D30" s="156"/>
    </row>
    <row r="31" spans="1:4" x14ac:dyDescent="0.2">
      <c r="A31" s="156"/>
      <c r="B31" s="156"/>
      <c r="C31" s="156"/>
      <c r="D31" s="156"/>
    </row>
    <row r="32" spans="1:4" x14ac:dyDescent="0.2">
      <c r="A32" s="156"/>
      <c r="B32" s="156"/>
      <c r="C32" s="156"/>
      <c r="D32" s="156"/>
    </row>
    <row r="33" spans="1:4" ht="13.5" customHeight="1" x14ac:dyDescent="0.2">
      <c r="A33" s="156"/>
      <c r="B33" s="156"/>
      <c r="C33" s="156"/>
      <c r="D33" s="156"/>
    </row>
    <row r="34" spans="1:4" x14ac:dyDescent="0.2">
      <c r="A34" s="156"/>
      <c r="B34" s="156"/>
      <c r="C34" s="156"/>
      <c r="D34" s="156"/>
    </row>
    <row r="35" spans="1:4" x14ac:dyDescent="0.2">
      <c r="A35" s="156"/>
      <c r="B35" s="156"/>
      <c r="C35" s="156"/>
      <c r="D35" s="156"/>
    </row>
    <row r="36" spans="1:4" x14ac:dyDescent="0.2">
      <c r="A36" s="156"/>
      <c r="B36" s="156"/>
      <c r="C36" s="156"/>
      <c r="D36" s="156"/>
    </row>
    <row r="37" spans="1:4" x14ac:dyDescent="0.2">
      <c r="A37" s="156"/>
      <c r="B37" s="156"/>
      <c r="C37" s="156"/>
      <c r="D37" s="156"/>
    </row>
    <row r="38" spans="1:4" x14ac:dyDescent="0.2">
      <c r="A38" s="156"/>
      <c r="B38" s="156"/>
      <c r="C38" s="156"/>
      <c r="D38" s="156"/>
    </row>
    <row r="39" spans="1:4" x14ac:dyDescent="0.2">
      <c r="A39" s="156"/>
      <c r="B39" s="156"/>
      <c r="C39" s="156"/>
      <c r="D39" s="156"/>
    </row>
    <row r="40" spans="1:4" x14ac:dyDescent="0.2">
      <c r="A40" s="156"/>
      <c r="B40" s="156"/>
      <c r="C40" s="156"/>
      <c r="D40" s="156"/>
    </row>
    <row r="41" spans="1:4" x14ac:dyDescent="0.2">
      <c r="A41" s="156"/>
      <c r="B41" s="156"/>
      <c r="C41" s="156"/>
      <c r="D41" s="156"/>
    </row>
    <row r="42" spans="1:4" x14ac:dyDescent="0.2">
      <c r="A42" s="156"/>
      <c r="B42" s="156"/>
      <c r="C42" s="156"/>
      <c r="D42" s="156"/>
    </row>
    <row r="43" spans="1:4" x14ac:dyDescent="0.2">
      <c r="A43" s="156"/>
      <c r="B43" s="156"/>
      <c r="C43" s="156"/>
      <c r="D43" s="156"/>
    </row>
    <row r="44" spans="1:4" x14ac:dyDescent="0.2">
      <c r="A44" s="156"/>
      <c r="B44" s="156"/>
      <c r="C44" s="156"/>
      <c r="D44" s="156"/>
    </row>
    <row r="45" spans="1:4" x14ac:dyDescent="0.2">
      <c r="A45" s="156"/>
      <c r="B45" s="156"/>
      <c r="C45" s="156"/>
      <c r="D45" s="156"/>
    </row>
    <row r="46" spans="1:4" x14ac:dyDescent="0.2">
      <c r="A46" s="156"/>
      <c r="B46" s="156"/>
      <c r="C46" s="156"/>
      <c r="D46" s="156"/>
    </row>
    <row r="47" spans="1:4" x14ac:dyDescent="0.2">
      <c r="A47" s="156"/>
      <c r="B47" s="156"/>
      <c r="C47" s="156"/>
      <c r="D47" s="156"/>
    </row>
    <row r="48" spans="1:4" x14ac:dyDescent="0.2">
      <c r="A48" s="156"/>
      <c r="B48" s="156"/>
      <c r="C48" s="156"/>
      <c r="D48" s="156"/>
    </row>
    <row r="49" spans="1:4" x14ac:dyDescent="0.2">
      <c r="A49" s="156"/>
      <c r="B49" s="156"/>
      <c r="C49" s="156"/>
      <c r="D49" s="156"/>
    </row>
    <row r="50" spans="1:4" x14ac:dyDescent="0.2">
      <c r="A50" s="156"/>
      <c r="B50" s="156"/>
      <c r="C50" s="156"/>
      <c r="D50" s="156"/>
    </row>
    <row r="51" spans="1:4" x14ac:dyDescent="0.2">
      <c r="A51" s="156"/>
      <c r="B51" s="156"/>
      <c r="C51" s="156"/>
      <c r="D51" s="156"/>
    </row>
    <row r="52" spans="1:4" x14ac:dyDescent="0.2">
      <c r="A52" s="156"/>
      <c r="B52" s="156"/>
      <c r="C52" s="156"/>
      <c r="D52" s="156"/>
    </row>
    <row r="53" spans="1:4" x14ac:dyDescent="0.2">
      <c r="A53" s="156"/>
      <c r="B53" s="156"/>
      <c r="C53" s="156"/>
      <c r="D53" s="156"/>
    </row>
    <row r="54" spans="1:4" x14ac:dyDescent="0.2">
      <c r="A54" s="156"/>
      <c r="B54" s="156"/>
      <c r="C54" s="156"/>
      <c r="D54" s="156"/>
    </row>
    <row r="55" spans="1:4" x14ac:dyDescent="0.2">
      <c r="A55" s="156"/>
      <c r="B55" s="156"/>
      <c r="C55" s="156"/>
      <c r="D55" s="156"/>
    </row>
    <row r="56" spans="1:4" x14ac:dyDescent="0.2">
      <c r="A56" s="156"/>
      <c r="B56" s="156"/>
      <c r="C56" s="156"/>
      <c r="D56" s="156"/>
    </row>
    <row r="57" spans="1:4" x14ac:dyDescent="0.2">
      <c r="A57" s="156"/>
      <c r="B57" s="156"/>
      <c r="C57" s="156"/>
      <c r="D57" s="156"/>
    </row>
    <row r="58" spans="1:4" x14ac:dyDescent="0.2">
      <c r="A58" s="156"/>
      <c r="B58" s="156"/>
      <c r="C58" s="156"/>
      <c r="D58" s="156"/>
    </row>
  </sheetData>
  <mergeCells count="3">
    <mergeCell ref="A1:D1"/>
    <mergeCell ref="B2:C2"/>
    <mergeCell ref="B3:C3"/>
  </mergeCells>
  <phoneticPr fontId="3"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3"/>
  <sheetViews>
    <sheetView topLeftCell="A13" zoomScale="95" zoomScaleNormal="95" workbookViewId="0">
      <selection activeCell="U49" sqref="U49"/>
    </sheetView>
  </sheetViews>
  <sheetFormatPr defaultRowHeight="12.75" x14ac:dyDescent="0.2"/>
  <sheetData>
    <row r="3" ht="10.5" customHeight="1" x14ac:dyDescent="0.2"/>
  </sheetData>
  <phoneticPr fontId="3"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3:E26"/>
  <sheetViews>
    <sheetView topLeftCell="C1" workbookViewId="0">
      <selection activeCell="Q31" sqref="Q31"/>
    </sheetView>
  </sheetViews>
  <sheetFormatPr defaultRowHeight="12.75" x14ac:dyDescent="0.2"/>
  <cols>
    <col min="2" max="2" width="255.7109375" customWidth="1"/>
    <col min="4" max="4" width="16.85546875" customWidth="1"/>
  </cols>
  <sheetData>
    <row r="3" spans="2:2" x14ac:dyDescent="0.2">
      <c r="B3" t="s">
        <v>146</v>
      </c>
    </row>
    <row r="4" spans="2:2" x14ac:dyDescent="0.2">
      <c r="B4" t="s">
        <v>147</v>
      </c>
    </row>
    <row r="5" spans="2:2" x14ac:dyDescent="0.2">
      <c r="B5" t="s">
        <v>148</v>
      </c>
    </row>
    <row r="6" spans="2:2" x14ac:dyDescent="0.2">
      <c r="B6" t="s">
        <v>149</v>
      </c>
    </row>
    <row r="7" spans="2:2" x14ac:dyDescent="0.2">
      <c r="B7" t="s">
        <v>150</v>
      </c>
    </row>
    <row r="8" spans="2:2" x14ac:dyDescent="0.2">
      <c r="B8" t="s">
        <v>151</v>
      </c>
    </row>
    <row r="9" spans="2:2" x14ac:dyDescent="0.2">
      <c r="B9" t="s">
        <v>152</v>
      </c>
    </row>
    <row r="10" spans="2:2" x14ac:dyDescent="0.2">
      <c r="B10" t="s">
        <v>153</v>
      </c>
    </row>
    <row r="11" spans="2:2" x14ac:dyDescent="0.2">
      <c r="B11" t="s">
        <v>151</v>
      </c>
    </row>
    <row r="12" spans="2:2" x14ac:dyDescent="0.2">
      <c r="B12" s="157">
        <v>6134</v>
      </c>
    </row>
    <row r="13" spans="2:2" x14ac:dyDescent="0.2">
      <c r="B13" t="s">
        <v>154</v>
      </c>
    </row>
    <row r="14" spans="2:2" x14ac:dyDescent="0.2">
      <c r="B14" t="s">
        <v>155</v>
      </c>
    </row>
    <row r="15" spans="2:2" x14ac:dyDescent="0.2">
      <c r="B15" s="158">
        <v>1.77</v>
      </c>
    </row>
    <row r="16" spans="2:2" x14ac:dyDescent="0.2">
      <c r="B16" t="s">
        <v>156</v>
      </c>
    </row>
    <row r="17" spans="2:5" x14ac:dyDescent="0.2">
      <c r="B17" t="s">
        <v>155</v>
      </c>
    </row>
    <row r="18" spans="2:5" x14ac:dyDescent="0.2">
      <c r="B18" s="158">
        <v>7.5</v>
      </c>
    </row>
    <row r="19" spans="2:5" x14ac:dyDescent="0.2">
      <c r="B19" t="s">
        <v>157</v>
      </c>
    </row>
    <row r="20" spans="2:5" x14ac:dyDescent="0.2">
      <c r="B20" t="s">
        <v>155</v>
      </c>
    </row>
    <row r="21" spans="2:5" x14ac:dyDescent="0.2">
      <c r="B21" s="158">
        <v>4.5599999999999996</v>
      </c>
    </row>
    <row r="22" spans="2:5" x14ac:dyDescent="0.2">
      <c r="B22" t="s">
        <v>158</v>
      </c>
    </row>
    <row r="23" spans="2:5" x14ac:dyDescent="0.2">
      <c r="B23" t="s">
        <v>155</v>
      </c>
    </row>
    <row r="24" spans="2:5" x14ac:dyDescent="0.2">
      <c r="B24" t="s">
        <v>159</v>
      </c>
      <c r="D24" s="3" t="s">
        <v>165</v>
      </c>
      <c r="E24" s="163" t="s">
        <v>163</v>
      </c>
    </row>
    <row r="25" spans="2:5" x14ac:dyDescent="0.2">
      <c r="B25" t="s">
        <v>160</v>
      </c>
    </row>
    <row r="26" spans="2:5" x14ac:dyDescent="0.2">
      <c r="D26" s="3" t="s">
        <v>166</v>
      </c>
      <c r="E26" s="163" t="s">
        <v>164</v>
      </c>
    </row>
  </sheetData>
  <hyperlinks>
    <hyperlink ref="E24" r:id="rId1" xr:uid="{B834DAD5-5B32-439E-AB72-3D14F2C1848E}"/>
    <hyperlink ref="E26" r:id="rId2" xr:uid="{24112C94-C81C-42AA-A02A-669B6906D5B6}"/>
  </hyperlinks>
  <pageMargins left="0.7" right="0.7" top="0.75" bottom="0.75" header="0.3" footer="0.3"/>
  <pageSetup orientation="portrait" verticalDpi="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M E A A B Q S w M E F A A C A A g A K U m 9 W g I M S V e j A A A A 9 Q A A A B I A H A B D b 2 5 m a W c v U G F j a 2 F n Z S 5 4 b W w g o h g A K K A U A A A A A A A A A A A A A A A A A A A A A A A A A A A A h Y 8 x D o I w G I W v Q r r T l u K g 5 K c M r p K Y E I 1 r U y o 0 Q j G 0 W O 7 m 4 J G 8 g h h F 3 R z f 9 7 7 h v f v 1 B t n Y N s F F 9 V Z 3 J k U R p i h Q R n a l N l W K B n c M l y j j s B X y J C o V T L K x y W j L F N X O n R N C v P f Y x 7 j r K 8 I o j c g h 3 x S y V q 1 A H 1 n / l 0 N t r B N G K s R h / x r D G V 7 F e M E Y p k B m B r k 2 3 5 5 N c 5 / t D 4 T 1 0 L i h V 1 y Z c F c A m S O Q 9 w X + A F B L A w Q U A A I A C A A p S b 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U m 9 W n P k C A 1 + A Q A A s w c A A B M A H A B G b 3 J t d W x h c y 9 T Z W N 0 a W 9 u M S 5 t I K I Y A C i g F A A A A A A A A A A A A A A A A A A A A A A A A A A A A O W U z W r C Q B S F 9 4 L v c E m 7 U A h B j W 2 l x Y W N t b j w B 0 3 p w k g Z k 6 s G J z M y M w F F f P c m j Z X Y G k r r R m k 2 g W / C z D n n n o l E V / m c w T B 5 l x / y u X x O z o l A D 6 4 0 i y / X w K f w L I j n s x k 8 c u a B R a g b U q K 4 q E K p B i s q N a g D R Z X P Q f Q M e S h c j M j T y k V q v H K x m H C + K L R 8 i o b F m U K m Z E G z 7 p 0 X i U I 6 L v F I I J 0 m y o X i S 6 f d 6 f c G d q N r Q 6 s 3 6 A y d P o r A V 9 C W M i T M R e c n S U a p Z s S S i j q w k F I d l A i x m M / 5 L C 0 v b X M 4 R 1 T l s 7 e g 7 7 T F a i u R t k T k Z t Q l A d a 1 x I Q 2 3 o 6 a R J H x 7 u N o g n P C Z p F J e 7 3 E e E w 2 m U Q e b E G Y n H I R W J y G A Y s X Z S H Z W d 9 s t I S W t e j k a A U U r t R W h 0 9 e y e B m B q 9 m 8 J s M f p v B 7 z J 4 7 Y B v U 7 P + Y v + w 2 0 l i 1 3 3 h M / X W E E j O v 8 X 7 q X 7 T X t Y y G p H 2 d 0 o 5 j p 7 5 T 7 q y v 3 I X 0 Y 4 P t e b x O l R O / 0 G Y W U P / T Z j m R Y V Z P R 6 m e X q Y 1 b + E + Q 5 Q S w E C L Q A U A A I A C A A p S b 1 a A g x J V 6 M A A A D 1 A A A A E g A A A A A A A A A A A A A A A A A A A A A A Q 2 9 u Z m l n L 1 B h Y 2 t h Z 2 U u e G 1 s U E s B A i 0 A F A A C A A g A K U m 9 W g / K 6 a u k A A A A 6 Q A A A B M A A A A A A A A A A A A A A A A A 7 w A A A F t D b 2 5 0 Z W 5 0 X 1 R 5 c G V z X S 5 4 b W x Q S w E C L Q A U A A I A C A A p S b 1 a c + Q I D X 4 B A A C z B w A A E w A A A A A A A A A A A A A A A A D g A Q A A R m 9 y b X V s Y X M v U 2 V j d G l v b j E u b V B L B Q Y A A A A A A w A D A M I A A A C r 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c K w A A A A A A A P o 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D b 3 B 5 J T I w b 2 Y l M j B H c m F k a W 5 n J T I w Q m 9 u Z C U y M E N h b G N 1 b G F 0 b 3 I 0 J T I w M D g l M j B 4 b H 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1 L T A 1 L T I 5 V D E 2 O j A 3 O j A w L j I 5 M D M w N j F a I i A v P j x F b n R y e S B U e X B l P S J G a W x s Q 2 9 s d W 1 u V H l w Z X M i I F Z h b H V l P S J z Q U F B P S I g L z 4 8 R W 5 0 c n k g V H l w Z T 0 i R m l s b E N v b H V t b k 5 h b W V z I i B W Y W x 1 Z T 0 i c 1 s m c X V v d D t O Y W 1 l J n F 1 b 3 Q 7 L C Z x d W 9 0 O 0 R h d G E 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D b 3 B 5 I G 9 m I E d y Y W R p b m c g Q m 9 u Z C B D Y W x j d W x h d G 9 y N C A w O C B 4 b H M v Q X V 0 b 1 J l b W 9 2 Z W R D b 2 x 1 b W 5 z M S 5 7 T m F t Z S w w f S Z x d W 9 0 O y w m c X V v d D t T Z W N 0 a W 9 u M S 9 D b 3 B 5 I G 9 m I E d y Y W R p b m c g Q m 9 u Z C B D Y W x j d W x h d G 9 y N C A w O C B 4 b H M v Q X V 0 b 1 J l b W 9 2 Z W R D b 2 x 1 b W 5 z M S 5 7 R G F 0 Y S w x f S Z x d W 9 0 O 1 0 s J n F 1 b 3 Q 7 Q 2 9 s d W 1 u Q 2 9 1 b n Q m c X V v d D s 6 M i w m c X V v d D t L Z X l D b 2 x 1 b W 5 O Y W 1 l c y Z x d W 9 0 O z p b X S w m c X V v d D t D b 2 x 1 b W 5 J Z G V u d G l 0 a W V z J n F 1 b 3 Q 7 O l s m c X V v d D t T Z W N 0 a W 9 u M S 9 D b 3 B 5 I G 9 m I E d y Y W R p b m c g Q m 9 u Z C B D Y W x j d W x h d G 9 y N C A w O C B 4 b H M v Q X V 0 b 1 J l b W 9 2 Z W R D b 2 x 1 b W 5 z M S 5 7 T m F t Z S w w f S Z x d W 9 0 O y w m c X V v d D t T Z W N 0 a W 9 u M S 9 D b 3 B 5 I G 9 m I E d y Y W R p b m c g Q m 9 u Z C B D Y W x j d W x h d G 9 y N C A w O C B 4 b H M v Q X V 0 b 1 J l b W 9 2 Z W R D b 2 x 1 b W 5 z M S 5 7 R G F 0 Y S w x f S Z x d W 9 0 O 1 0 s J n F 1 b 3 Q 7 U m V s Y X R p b 2 5 z a G l w S W 5 m b y Z x d W 9 0 O z p b X X 0 i I C 8 + P C 9 T d G F i b G V F b n R y a W V z P j w v S X R l b T 4 8 S X R l b T 4 8 S X R l b U x v Y 2 F 0 a W 9 u P j x J d G V t V H l w Z T 5 G b 3 J t d W x h P C 9 J d G V t V H l w Z T 4 8 S X R l b V B h d G g + U 2 V j d G l v b j E v Q 2 9 w e S U y M G 9 m J T I w R 3 J h Z G l u Z y U y M E J v b m Q l M j B D Y W x j d W x h d G 9 y N C U y M D A 4 J T I w e G x z L 1 N v d X J j Z T w v S X R l b V B h d G g + P C 9 J d G V t T G 9 j Y X R p b 2 4 + P F N 0 Y W J s Z U V u d H J p Z X M g L z 4 8 L 0 l 0 Z W 0 + P E l 0 Z W 0 + P E l 0 Z W 1 M b 2 N h d G l v b j 4 8 S X R l b V R 5 c G U + R m 9 y b X V s Y T w v S X R l b V R 5 c G U + P E l 0 Z W 1 Q Y X R o P l N l Y 3 R p b 2 4 x L 1 N o Z W V 0 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S I g L z 4 8 R W 5 0 c n k g V H l w Z T 0 i R m l s b E N v d W 5 0 I i B W Y W x 1 Z T 0 i b D Q z I i A v P j x F b n R y e S B U e X B l P S J G a W x s R X J y b 3 J D b 2 R l I i B W Y W x 1 Z T 0 i c 1 V u a 2 5 v d 2 4 i I C 8 + P E V u d H J 5 I F R 5 c G U 9 I k Z p b G x F c n J v c k N v d W 5 0 I i B W Y W x 1 Z T 0 i b D A i I C 8 + P E V u d H J 5 I F R 5 c G U 9 I k Z p b G x M Y X N 0 V X B k Y X R l Z C I g V m F s d W U 9 I m Q y M D I 1 L T A 1 L T I 5 V D E 2 O j A 4 O j Q 3 L j U 4 O T E 3 N T l a I i A v P j x F b n R y e S B U e X B l P S J G a W x s Q 2 9 s d W 1 u V H l w Z X M i I F Z h b H V l P S J z 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1 N o Z W V 0 M S 9 D a G F u Z 2 V k I F R 5 c G U u e 0 N v b H V t b j E s M H 0 m c X V v d D s s J n F 1 b 3 Q 7 U 2 V j d G l v b j E v U 2 h l Z X Q x L 0 N o Y W 5 n Z W Q g V H l w Z S 5 7 Q 2 9 s d W 1 u M i w x f S Z x d W 9 0 O y w m c X V v d D t T Z W N 0 a W 9 u M S 9 T a G V l d D E v Q 2 h h b m d l Z C B U e X B l L n t D b 2 x 1 b W 4 z L D J 9 J n F 1 b 3 Q 7 L C Z x d W 9 0 O 1 N l Y 3 R p b 2 4 x L 1 N o Z W V 0 M S 9 D a G F u Z 2 V k I F R 5 c G U u e 0 N v b H V t b j Q s M 3 0 m c X V v d D s s J n F 1 b 3 Q 7 U 2 V j d G l v b j E v U 2 h l Z X Q x L 0 N o Y W 5 n Z W Q g V H l w Z S 5 7 Q 2 9 s d W 1 u N S w 0 f S Z x d W 9 0 O y w m c X V v d D t T Z W N 0 a W 9 u M S 9 T a G V l d D E v Q 2 h h b m d l Z C B U e X B l L n t D b 2 x 1 b W 4 2 L D V 9 J n F 1 b 3 Q 7 L C Z x d W 9 0 O 1 N l Y 3 R p b 2 4 x L 1 N o Z W V 0 M S 9 D a G F u Z 2 V k I F R 5 c G U u e 0 N v b H V t b j c s N n 0 m c X V v d D s s J n F 1 b 3 Q 7 U 2 V j d G l v b j E v U 2 h l Z X Q x L 0 N o Y W 5 n Z W Q g V H l w Z S 5 7 Q 2 9 s d W 1 u O C w 3 f S Z x d W 9 0 O 1 0 s J n F 1 b 3 Q 7 Q 2 9 s d W 1 u Q 2 9 1 b n Q m c X V v d D s 6 O C w m c X V v d D t L Z X l D b 2 x 1 b W 5 O Y W 1 l c y Z x d W 9 0 O z p b X S w m c X V v d D t D b 2 x 1 b W 5 J Z G V u d G l 0 a W V z J n F 1 b 3 Q 7 O l s m c X V v d D t T Z W N 0 a W 9 u M S 9 T a G V l d D E v Q 2 h h b m d l Z C B U e X B l L n t D b 2 x 1 b W 4 x L D B 9 J n F 1 b 3 Q 7 L C Z x d W 9 0 O 1 N l Y 3 R p b 2 4 x L 1 N o Z W V 0 M S 9 D a G F u Z 2 V k I F R 5 c G U u e 0 N v b H V t b j I s M X 0 m c X V v d D s s J n F 1 b 3 Q 7 U 2 V j d G l v b j E v U 2 h l Z X Q x L 0 N o Y W 5 n Z W Q g V H l w Z S 5 7 Q 2 9 s d W 1 u M y w y f S Z x d W 9 0 O y w m c X V v d D t T Z W N 0 a W 9 u M S 9 T a G V l d D E v Q 2 h h b m d l Z C B U e X B l L n t D b 2 x 1 b W 4 0 L D N 9 J n F 1 b 3 Q 7 L C Z x d W 9 0 O 1 N l Y 3 R p b 2 4 x L 1 N o Z W V 0 M S 9 D a G F u Z 2 V k I F R 5 c G U u e 0 N v b H V t b j U s N H 0 m c X V v d D s s J n F 1 b 3 Q 7 U 2 V j d G l v b j E v U 2 h l Z X Q x L 0 N o Y W 5 n Z W Q g V H l w Z S 5 7 Q 2 9 s d W 1 u N i w 1 f S Z x d W 9 0 O y w m c X V v d D t T Z W N 0 a W 9 u M S 9 T a G V l d D E v Q 2 h h b m d l Z C B U e X B l L n t D b 2 x 1 b W 4 3 L D Z 9 J n F 1 b 3 Q 7 L C Z x d W 9 0 O 1 N l Y 3 R p b 2 4 x L 1 N o Z W V 0 M S 9 D a G F u Z 2 V k I F R 5 c G U u e 0 N v b H V t b j g s N 3 0 m c X V v d D t d L C Z x d W 9 0 O 1 J l b G F 0 a W 9 u c 2 h p c E l u Z m 8 m c X V v d D s 6 W 1 1 9 I i A v P j w v U 3 R h Y m x l R W 5 0 c m l l c z 4 8 L 0 l 0 Z W 0 + P E l 0 Z W 0 + P E l 0 Z W 1 M b 2 N h d G l v b j 4 8 S X R l b V R 5 c G U + R m 9 y b X V s Y T w v S X R l b V R 5 c G U + P E l 0 Z W 1 Q Y X R o P l N l Y 3 R p b 2 4 x L 1 N o Z W V 0 M S 9 T b 3 V y Y 2 U 8 L 0 l 0 Z W 1 Q Y X R o P j w v S X R l b U x v Y 2 F 0 a W 9 u P j x T d G F i b G V F b n R y a W V z I C 8 + P C 9 J d G V t P j x J d G V t P j x J d G V t T G 9 j Y X R p b 2 4 + P E l 0 Z W 1 U e X B l P k Z v c m 1 1 b G E 8 L 0 l 0 Z W 1 U e X B l P j x J d G V t U G F 0 a D 5 T Z W N 0 a W 9 u M S 9 T a G V l d D E v U 2 h l Z X Q y P C 9 J d G V t U G F 0 a D 4 8 L 0 l 0 Z W 1 M b 2 N h d G l v b j 4 8 U 3 R h Y m x l R W 5 0 c m l l c y A v P j w v S X R l b T 4 8 S X R l b T 4 8 S X R l b U x v Y 2 F 0 a W 9 u P j x J d G V t V H l w Z T 5 G b 3 J t d W x h P C 9 J d G V t V H l w Z T 4 8 S X R l b V B h d G g + U 2 V j d G l v b j E v U 2 h l Z X Q x L 0 N o Y W 5 n Z W Q l M j B U e X B l P C 9 J d G V t U G F 0 a D 4 8 L 0 l 0 Z W 1 M b 2 N h d G l v b j 4 8 U 3 R h Y m x l R W 5 0 c m l l c y A v P j w v S X R l b T 4 8 S X R l b T 4 8 S X R l b U x v Y 2 F 0 a W 9 u P j x J d G V t V H l w Z T 5 G b 3 J t d W x h P C 9 J d G V t V H l w Z T 4 8 S X R l b V B h d G g + U 2 V j d G l v b j E v U 2 h l Z X Q x J T I 0 U H J p b n R f Q X J l Y 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S I g L z 4 8 R W 5 0 c n k g V H l w Z T 0 i R m l s b E N v d W 5 0 I i B W Y W x 1 Z T 0 i b D M 3 I i A v P j x F b n R y e S B U e X B l P S J G a W x s R X J y b 3 J D b 2 R l I i B W Y W x 1 Z T 0 i c 1 V u a 2 5 v d 2 4 i I C 8 + P E V u d H J 5 I F R 5 c G U 9 I k Z p b G x F c n J v c k N v d W 5 0 I i B W Y W x 1 Z T 0 i b D A i I C 8 + P E V u d H J 5 I F R 5 c G U 9 I k Z p b G x M Y X N 0 V X B k Y X R l Z C I g V m F s d W U 9 I m Q y M D I 1 L T A 1 L T I 5 V D E 2 O j A 4 O j Q 3 L j U 5 M j Y 4 O D d a I i A v P j x F b n R y e S B U e X B l P S J G a W x s Q 2 9 s d W 1 u V H l w Z X M i I F Z h b H V l P S J z 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1 N o Z W V 0 M S R Q c m l u d F 9 B c m V h L 0 N o Y W 5 n Z W Q g V H l w Z S 5 7 Q 2 9 s d W 1 u M S w w f S Z x d W 9 0 O y w m c X V v d D t T Z W N 0 a W 9 u M S 9 T a G V l d D E k U H J p b n R f Q X J l Y S 9 D a G F u Z 2 V k I F R 5 c G U u e 0 N v b H V t b j I s M X 0 m c X V v d D s s J n F 1 b 3 Q 7 U 2 V j d G l v b j E v U 2 h l Z X Q x J F B y a W 5 0 X 0 F y Z W E v Q 2 h h b m d l Z C B U e X B l L n t D b 2 x 1 b W 4 z L D J 9 J n F 1 b 3 Q 7 L C Z x d W 9 0 O 1 N l Y 3 R p b 2 4 x L 1 N o Z W V 0 M S R Q c m l u d F 9 B c m V h L 0 N o Y W 5 n Z W Q g V H l w Z S 5 7 Q 2 9 s d W 1 u N C w z f S Z x d W 9 0 O y w m c X V v d D t T Z W N 0 a W 9 u M S 9 T a G V l d D E k U H J p b n R f Q X J l Y S 9 D a G F u Z 2 V k I F R 5 c G U u e 0 N v b H V t b j U s N H 0 m c X V v d D s s J n F 1 b 3 Q 7 U 2 V j d G l v b j E v U 2 h l Z X Q x J F B y a W 5 0 X 0 F y Z W E v Q 2 h h b m d l Z C B U e X B l L n t D b 2 x 1 b W 4 2 L D V 9 J n F 1 b 3 Q 7 L C Z x d W 9 0 O 1 N l Y 3 R p b 2 4 x L 1 N o Z W V 0 M S R Q c m l u d F 9 B c m V h L 0 N o Y W 5 n Z W Q g V H l w Z S 5 7 Q 2 9 s d W 1 u N y w 2 f S Z x d W 9 0 O y w m c X V v d D t T Z W N 0 a W 9 u M S 9 T a G V l d D E k U H J p b n R f Q X J l Y S 9 D a G F u Z 2 V k I F R 5 c G U u e 0 N v b H V t b j g s N 3 0 m c X V v d D t d L C Z x d W 9 0 O 0 N v b H V t b k N v d W 5 0 J n F 1 b 3 Q 7 O j g s J n F 1 b 3 Q 7 S 2 V 5 Q 2 9 s d W 1 u T m F t Z X M m c X V v d D s 6 W 1 0 s J n F 1 b 3 Q 7 Q 2 9 s d W 1 u S W R l b n R p d G l l c y Z x d W 9 0 O z p b J n F 1 b 3 Q 7 U 2 V j d G l v b j E v U 2 h l Z X Q x J F B y a W 5 0 X 0 F y Z W E v Q 2 h h b m d l Z C B U e X B l L n t D b 2 x 1 b W 4 x L D B 9 J n F 1 b 3 Q 7 L C Z x d W 9 0 O 1 N l Y 3 R p b 2 4 x L 1 N o Z W V 0 M S R Q c m l u d F 9 B c m V h L 0 N o Y W 5 n Z W Q g V H l w Z S 5 7 Q 2 9 s d W 1 u M i w x f S Z x d W 9 0 O y w m c X V v d D t T Z W N 0 a W 9 u M S 9 T a G V l d D E k U H J p b n R f Q X J l Y S 9 D a G F u Z 2 V k I F R 5 c G U u e 0 N v b H V t b j M s M n 0 m c X V v d D s s J n F 1 b 3 Q 7 U 2 V j d G l v b j E v U 2 h l Z X Q x J F B y a W 5 0 X 0 F y Z W E v Q 2 h h b m d l Z C B U e X B l L n t D b 2 x 1 b W 4 0 L D N 9 J n F 1 b 3 Q 7 L C Z x d W 9 0 O 1 N l Y 3 R p b 2 4 x L 1 N o Z W V 0 M S R Q c m l u d F 9 B c m V h L 0 N o Y W 5 n Z W Q g V H l w Z S 5 7 Q 2 9 s d W 1 u N S w 0 f S Z x d W 9 0 O y w m c X V v d D t T Z W N 0 a W 9 u M S 9 T a G V l d D E k U H J p b n R f Q X J l Y S 9 D a G F u Z 2 V k I F R 5 c G U u e 0 N v b H V t b j Y s N X 0 m c X V v d D s s J n F 1 b 3 Q 7 U 2 V j d G l v b j E v U 2 h l Z X Q x J F B y a W 5 0 X 0 F y Z W E v Q 2 h h b m d l Z C B U e X B l L n t D b 2 x 1 b W 4 3 L D Z 9 J n F 1 b 3 Q 7 L C Z x d W 9 0 O 1 N l Y 3 R p b 2 4 x L 1 N o Z W V 0 M S R Q c m l u d F 9 B c m V h L 0 N o Y W 5 n Z W Q g V H l w Z S 5 7 Q 2 9 s d W 1 u O C w 3 f S Z x d W 9 0 O 1 0 s J n F 1 b 3 Q 7 U m V s Y X R p b 2 5 z a G l w S W 5 m b y Z x d W 9 0 O z p b X X 0 i I C 8 + P C 9 T d G F i b G V F b n R y a W V z P j w v S X R l b T 4 8 S X R l b T 4 8 S X R l b U x v Y 2 F 0 a W 9 u P j x J d G V t V H l w Z T 5 G b 3 J t d W x h P C 9 J d G V t V H l w Z T 4 8 S X R l b V B h d G g + U 2 V j d G l v b j E v U 2 h l Z X Q x J T I 0 U H J p b n R f Q X J l Y S 9 T b 3 V y Y 2 U 8 L 0 l 0 Z W 1 Q Y X R o P j w v S X R l b U x v Y 2 F 0 a W 9 u P j x T d G F i b G V F b n R y a W V z I C 8 + P C 9 J d G V t P j x J d G V t P j x J d G V t T G 9 j Y X R p b 2 4 + P E l 0 Z W 1 U e X B l P k Z v c m 1 1 b G E 8 L 0 l 0 Z W 1 U e X B l P j x J d G V t U G F 0 a D 5 T Z W N 0 a W 9 u M S 9 T a G V l d D E l M j R Q c m l u d F 9 B c m V h L 1 N o Z W V 0 M S U y N F B y a W 5 0 X 0 F y Z W E x P C 9 J d G V t U G F 0 a D 4 8 L 0 l 0 Z W 1 M b 2 N h d G l v b j 4 8 U 3 R h Y m x l R W 5 0 c m l l c y A v P j w v S X R l b T 4 8 S X R l b T 4 8 S X R l b U x v Y 2 F 0 a W 9 u P j x J d G V t V H l w Z T 5 G b 3 J t d W x h P C 9 J d G V t V H l w Z T 4 8 S X R l b V B h d G g + U 2 V j d G l v b j E v U 2 h l Z X Q x J T I 0 U H J p b n R f Q X J l Y S 9 D a G F u Z 2 V k J T I w V H l w Z T w v S X R l b V B h d G g + P C 9 J d G V t T G 9 j Y X R p b 2 4 + P F N 0 Y W J s Z U V u d H J p Z X M g L z 4 8 L 0 l 0 Z W 0 + P E l 0 Z W 0 + P E l 0 Z W 1 M b 2 N h d G l v b j 4 8 S X R l b V R 5 c G U + R m 9 y b X V s Y T w v S X R l b V R 5 c G U + P E l 0 Z W 1 Q Y X R o P l N l Y 3 R p b 2 4 x L 1 N o Z W V 0 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S I g L z 4 8 R W 5 0 c n k g V H l w Z T 0 i R m l s b E N v d W 5 0 I i B W Y W x 1 Z T 0 i b D I i I C 8 + P E V u d H J 5 I F R 5 c G U 9 I k Z p b G x F c n J v c k N v Z G U i I F Z h b H V l P S J z V W 5 r b m 9 3 b i I g L z 4 8 R W 5 0 c n k g V H l w Z T 0 i R m l s b E V y c m 9 y Q 2 9 1 b n Q i I F Z h b H V l P S J s M C I g L z 4 8 R W 5 0 c n k g V H l w Z T 0 i R m l s b E x h c 3 R V c G R h d G V k I i B W Y W x 1 Z T 0 i Z D I w M j U t M D U t M j l U M T Y 6 M D g 6 N D c u N T k 1 N j g 4 O V 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T a G V l d D I v Q 2 h h b m d l Z C B U e X B l L n t D b 2 x 1 b W 4 x L D B 9 J n F 1 b 3 Q 7 X S w m c X V v d D t D b 2 x 1 b W 5 D b 3 V u d C Z x d W 9 0 O z o x L C Z x d W 9 0 O 0 t l e U N v b H V t b k 5 h b W V z J n F 1 b 3 Q 7 O l t d L C Z x d W 9 0 O 0 N v b H V t b k l k Z W 5 0 a X R p Z X M m c X V v d D s 6 W y Z x d W 9 0 O 1 N l Y 3 R p b 2 4 x L 1 N o Z W V 0 M i 9 D a G F u Z 2 V k I F R 5 c G U u e 0 N v b H V t b j E s M H 0 m c X V v d D t d L C Z x d W 9 0 O 1 J l b G F 0 a W 9 u c 2 h p c E l u Z m 8 m c X V v d D s 6 W 1 1 9 I i A v P j w v U 3 R h Y m x l R W 5 0 c m l l c z 4 8 L 0 l 0 Z W 0 + P E l 0 Z W 0 + P E l 0 Z W 1 M b 2 N h d G l v b j 4 8 S X R l b V R 5 c G U + R m 9 y b X V s Y T w v S X R l b V R 5 c G U + P E l 0 Z W 1 Q Y X R o P l N l Y 3 R p b 2 4 x L 1 N o Z W V 0 M i 9 T b 3 V y Y 2 U 8 L 0 l 0 Z W 1 Q Y X R o P j w v S X R l b U x v Y 2 F 0 a W 9 u P j x T d G F i b G V F b n R y a W V z I C 8 + P C 9 J d G V t P j x J d G V t P j x J d G V t T G 9 j Y X R p b 2 4 + P E l 0 Z W 1 U e X B l P k Z v c m 1 1 b G E 8 L 0 l 0 Z W 1 U e X B l P j x J d G V t U G F 0 a D 5 T Z W N 0 a W 9 u M S 9 T a G V l d D I v U 2 h l Z X Q z P C 9 J d G V t U G F 0 a D 4 8 L 0 l 0 Z W 1 M b 2 N h d G l v b j 4 8 U 3 R h Y m x l R W 5 0 c m l l c y A v P j w v S X R l b T 4 8 S X R l b T 4 8 S X R l b U x v Y 2 F 0 a W 9 u P j x J d G V t V H l w Z T 5 G b 3 J t d W x h P C 9 J d G V t V H l w Z T 4 8 S X R l b V B h d G g + U 2 V j d G l v b j E v U 2 h l Z X Q 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x I i A v P j x F b n R y e S B U e X B l P S J G a W x s Q 2 9 1 b n Q i I F Z h b H V l P S J s M i I g L z 4 8 R W 5 0 c n k g V H l w Z T 0 i R m l s b E V y c m 9 y Q 2 9 k Z S I g V m F s d W U 9 I n N V b m t u b 3 d u I i A v P j x F b n R y e S B U e X B l P S J G a W x s R X J y b 3 J D b 3 V u d C I g V m F s d W U 9 I m w w I i A v P j x F b n R y e S B U e X B l P S J G a W x s T G F z d F V w Z G F 0 Z W Q i I F Z h b H V l P S J k M j A y N S 0 w N S 0 y O V Q x N j o w O D o 0 N y 4 2 M D A x N T c 4 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N o Z W V 0 M y 9 D a G F u Z 2 V k I F R 5 c G U u e 0 N v b H V t b j E s M H 0 m c X V v d D t d L C Z x d W 9 0 O 0 N v b H V t b k N v d W 5 0 J n F 1 b 3 Q 7 O j E s J n F 1 b 3 Q 7 S 2 V 5 Q 2 9 s d W 1 u T m F t Z X M m c X V v d D s 6 W 1 0 s J n F 1 b 3 Q 7 Q 2 9 s d W 1 u S W R l b n R p d G l l c y Z x d W 9 0 O z p b J n F 1 b 3 Q 7 U 2 V j d G l v b j E v U 2 h l Z X Q z L 0 N o Y W 5 n Z W Q g V H l w Z S 5 7 Q 2 9 s d W 1 u M S w w f S Z x d W 9 0 O 1 0 s J n F 1 b 3 Q 7 U m V s Y X R p b 2 5 z a G l w S W 5 m b y Z x d W 9 0 O z p b X X 0 i I C 8 + P C 9 T d G F i b G V F b n R y a W V z P j w v S X R l b T 4 8 S X R l b T 4 8 S X R l b U x v Y 2 F 0 a W 9 u P j x J d G V t V H l w Z T 5 G b 3 J t d W x h P C 9 J d G V t V H l w Z T 4 8 S X R l b V B h d G g + U 2 V j d G l v b j E v U 2 h l Z X Q z L 1 N v d X J j Z T w v S X R l b V B h d G g + P C 9 J d G V t T G 9 j Y X R p b 2 4 + P F N 0 Y W J s Z U V u d H J p Z X M g L z 4 8 L 0 l 0 Z W 0 + P E l 0 Z W 0 + P E l 0 Z W 1 M b 2 N h d G l v b j 4 8 S X R l b V R 5 c G U + R m 9 y b X V s Y T w v S X R l b V R 5 c G U + P E l 0 Z W 1 Q Y X R o P l N l Y 3 R p b 2 4 x L 1 N o Z W V 0 M y 9 T a G V l d D Q 8 L 0 l 0 Z W 1 Q Y X R o P j w v S X R l b U x v Y 2 F 0 a W 9 u P j x T d G F i b G V F b n R y a W V z I C 8 + P C 9 J d G V t P j x J d G V t P j x J d G V t T G 9 j Y X R p b 2 4 + P E l 0 Z W 1 U e X B l P k Z v c m 1 1 b G E 8 L 0 l 0 Z W 1 U e X B l P j x J d G V t U G F 0 a D 5 T Z W N 0 a W 9 u M S 9 T a G V l d D M v Q 2 h h b m d l Z C U y M F R 5 c G U 8 L 0 l 0 Z W 1 Q Y X R o P j w v S X R l b U x v Y 2 F 0 a W 9 u P j x T d G F i b G V F b n R y a W V z I C 8 + P C 9 J d G V t P j x J d G V t P j x J d G V t T G 9 j Y X R p b 2 4 + P E l 0 Z W 1 U e X B l P k Z v c m 1 1 b G E 8 L 0 l 0 Z W 1 U e X B l P j x J d G V t U G F 0 a D 5 T Z W N 0 a W 9 u M S 9 T a G V l d D I v Q 2 h h b m d l Z C U y M F R 5 c G U 8 L 0 l 0 Z W 1 Q Y X R o P j w v S X R l b U x v Y 2 F 0 a W 9 u P j x T d G F i b G V F b n R y a W V z I C 8 + P C 9 J d G V t P j w v S X R l b X M + P C 9 M b 2 N h b F B h Y 2 t h Z 2 V N Z X R h Z G F 0 Y U Z p b G U + F g A A A F B L B Q Y A A A A A A A A A A A A A A A A A A A A A A A A m A Q A A A Q A A A N C M n d 8 B F d E R j H o A w E / C l + s B A A A A A J E 4 j U p Z s 0 S 1 F 6 c B x Y M b j w A A A A A C A A A A A A A Q Z g A A A A E A A C A A A A D q A Q g O X z B d 7 l b x N C 7 S h Q 4 f G P M o i 9 9 g M a j C L P o 3 / z x / A g A A A A A O g A A A A A I A A C A A A A B G C i W r 2 E 0 Q n k O J A 5 4 9 1 J z P d Z b h h D f R y Z i y g Y 5 / d 1 t 6 b l A A A A D c g o v y + x k b Z x C Q X J P Y P 9 q + j A g M i 4 H H u v r E k S N j B t R T r + L U O Z K B z w U U f U v v U z A c 1 m h p A o 1 y Y / d / a l u v 2 W G w x F r M R P D S N G l f 4 w G 0 A B 1 r J D U c w k A A A A D 4 p z E W K 3 q L b 2 D C f V l W 4 z 3 N m d C 6 V 4 m J a f u J e 8 j r e X c f J G n 6 j q v j 1 u z U 8 k x l 5 P v E E G I W 6 H p n 0 v / A a 0 T d H J N Y o Y U 9 < / D a t a M a s h u p > 
</file>

<file path=customXml/item3.xml><?xml version="1.0" encoding="utf-8"?>
<p:properties xmlns:p="http://schemas.microsoft.com/office/2006/metadata/properties" xmlns:xsi="http://www.w3.org/2001/XMLSchema-instance" xmlns:pc="http://schemas.microsoft.com/office/infopath/2007/PartnerControls">
  <documentManagement>
    <_dlc_DocId xmlns="ffdeb413-c7fb-4249-8e12-7b9055030a88">COLECN-101-165014</_dlc_DocId>
    <_dlc_DocIdUrl xmlns="ffdeb413-c7fb-4249-8e12-7b9055030a88">
      <Url>https://lakeelsinore.sharepoint.com/eng/_layouts/15/DocIdRedir.aspx?ID=COLECN-101-165014</Url>
      <Description>COLECN-101-165014</Description>
    </_dlc_DocIdUrl>
    <_ip_UnifiedCompliancePolicyUIAction xmlns="http://schemas.microsoft.com/sharepoint/v3" xsi:nil="true"/>
    <_ip_UnifiedCompliancePolicyProperties xmlns="http://schemas.microsoft.com/sharepoint/v3" xsi:nil="true"/>
    <lcf76f155ced4ddcb4097134ff3c332f xmlns="aee6b75e-e0da-4197-b73c-72b547e459a7">
      <Terms xmlns="http://schemas.microsoft.com/office/infopath/2007/PartnerControls"/>
    </lcf76f155ced4ddcb4097134ff3c332f>
    <TaxCatchAll xmlns="ffdeb413-c7fb-4249-8e12-7b9055030a8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2C43F3C18D6F94AB1E608448ACFF361" ma:contentTypeVersion="19" ma:contentTypeDescription="Create a new document." ma:contentTypeScope="" ma:versionID="ffd89053d4938a3b8ee73c1880a10832">
  <xsd:schema xmlns:xsd="http://www.w3.org/2001/XMLSchema" xmlns:xs="http://www.w3.org/2001/XMLSchema" xmlns:p="http://schemas.microsoft.com/office/2006/metadata/properties" xmlns:ns1="http://schemas.microsoft.com/sharepoint/v3" xmlns:ns2="ffdeb413-c7fb-4249-8e12-7b9055030a88" xmlns:ns3="aee6b75e-e0da-4197-b73c-72b547e459a7" targetNamespace="http://schemas.microsoft.com/office/2006/metadata/properties" ma:root="true" ma:fieldsID="c217ca65f95e9a80d9ad1440b6a22b35" ns1:_="" ns2:_="" ns3:_="">
    <xsd:import namespace="http://schemas.microsoft.com/sharepoint/v3"/>
    <xsd:import namespace="ffdeb413-c7fb-4249-8e12-7b9055030a88"/>
    <xsd:import namespace="aee6b75e-e0da-4197-b73c-72b547e459a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Location" minOccurs="0"/>
                <xsd:element ref="ns3:MediaServiceAutoTags"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deb413-c7fb-4249-8e12-7b9055030a8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b5cb8eaf-1bf7-4383-ad26-9afccc542458}" ma:internalName="TaxCatchAll" ma:showField="CatchAllData" ma:web="ffdeb413-c7fb-4249-8e12-7b9055030a8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ee6b75e-e0da-4197-b73c-72b547e459a7"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AutoTags" ma:index="17" nillable="true" ma:displayName="MediaServiceAuto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874dc6c-6ada-4ef2-aabd-2c2793bbd8b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DE28412-B5C9-4235-8BFD-04CFCFE10AA5}">
  <ds:schemaRefs>
    <ds:schemaRef ds:uri="http://schemas.microsoft.com/sharepoint/v3/contenttype/forms"/>
  </ds:schemaRefs>
</ds:datastoreItem>
</file>

<file path=customXml/itemProps2.xml><?xml version="1.0" encoding="utf-8"?>
<ds:datastoreItem xmlns:ds="http://schemas.openxmlformats.org/officeDocument/2006/customXml" ds:itemID="{35A735D9-0EFE-4B5F-99DC-5B2D80B6EF9E}">
  <ds:schemaRefs>
    <ds:schemaRef ds:uri="http://schemas.microsoft.com/DataMashup"/>
  </ds:schemaRefs>
</ds:datastoreItem>
</file>

<file path=customXml/itemProps3.xml><?xml version="1.0" encoding="utf-8"?>
<ds:datastoreItem xmlns:ds="http://schemas.openxmlformats.org/officeDocument/2006/customXml" ds:itemID="{888BE443-3ADA-40EC-AEC6-DB73B9C86982}">
  <ds:schemaRefs>
    <ds:schemaRef ds:uri="ffdeb413-c7fb-4249-8e12-7b9055030a88"/>
    <ds:schemaRef ds:uri="http://purl.org/dc/elements/1.1/"/>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dcmitype/"/>
    <ds:schemaRef ds:uri="http://schemas.openxmlformats.org/package/2006/metadata/core-properties"/>
    <ds:schemaRef ds:uri="aee6b75e-e0da-4197-b73c-72b547e459a7"/>
    <ds:schemaRef ds:uri="http://schemas.microsoft.com/sharepoint/v3"/>
  </ds:schemaRefs>
</ds:datastoreItem>
</file>

<file path=customXml/itemProps4.xml><?xml version="1.0" encoding="utf-8"?>
<ds:datastoreItem xmlns:ds="http://schemas.openxmlformats.org/officeDocument/2006/customXml" ds:itemID="{739D2AB7-F96B-4275-B3DD-5BFA94C3B9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fdeb413-c7fb-4249-8e12-7b9055030a88"/>
    <ds:schemaRef ds:uri="aee6b75e-e0da-4197-b73c-72b547e459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D4EBADB-59AB-416F-8309-6E43D7A6CB1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PC&amp;Permit Fees</vt:lpstr>
      <vt:lpstr>Grading Bond Calc</vt:lpstr>
      <vt:lpstr>K-Rat Fee</vt:lpstr>
      <vt:lpstr>K-Rat Map</vt:lpstr>
      <vt:lpstr>TIF Information</vt:lpstr>
      <vt:lpstr>Drainage Fees</vt:lpstr>
      <vt:lpstr>Drainage Fee Map</vt:lpstr>
      <vt:lpstr>TUMF Fee Schedule</vt:lpstr>
      <vt:lpstr>'Grading Bond Calc'!Print_Area</vt:lpstr>
      <vt:lpstr>'PC&amp;Permit Fees'!Print_Area</vt:lpstr>
      <vt:lpstr>'PC&amp;Permit Fees'!Print_Titles</vt:lpstr>
      <vt:lpstr>'TIF Information'!wwfootnote_inline_109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Adams</dc:creator>
  <cp:keywords/>
  <dc:description/>
  <cp:lastModifiedBy>Cameron Adams</cp:lastModifiedBy>
  <cp:revision/>
  <cp:lastPrinted>2020-07-22T17:41:11Z</cp:lastPrinted>
  <dcterms:created xsi:type="dcterms:W3CDTF">2007-11-01T22:34:58Z</dcterms:created>
  <dcterms:modified xsi:type="dcterms:W3CDTF">2025-05-29T16:16:36Z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0x010100B2C43F3C18D6F94AB1E608448ACFF361</vt:lpwstr>
  </property>
  <property fmtid="{D5CDD505-2E9C-101B-9397-08002B2CF9AE}" pid="3" name="_dlc_DocIdItemGuid">
    <vt:lpwstr>5f32e059-037b-4310-8e0e-818686fe1a76</vt:lpwstr>
  </property>
</Properties>
</file>